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2120" windowHeight="9120" activeTab="0"/>
  </bookViews>
  <sheets>
    <sheet name="RELATÓRIO" sheetId="1" r:id="rId1"/>
    <sheet name="DETALHAMENTO" sheetId="2" r:id="rId2"/>
    <sheet name="FORMAS DE CAPACITAÇÃO" sheetId="3" r:id="rId3"/>
  </sheets>
  <definedNames>
    <definedName name="_xlnm.Print_Area" localSheetId="1">'DETALHAMENTO'!$B$1:$C$31</definedName>
    <definedName name="_xlnm.Print_Area" localSheetId="0">'RELATÓRIO'!$B$1:$S$129</definedName>
    <definedName name="_xlnm.Print_Titles" localSheetId="1">'DETALHAMENTO'!$1:$1</definedName>
    <definedName name="_xlnm.Print_Titles" localSheetId="0">'RELATÓRIO'!$12:$13</definedName>
  </definedNames>
  <calcPr fullCalcOnLoad="1"/>
</workbook>
</file>

<file path=xl/sharedStrings.xml><?xml version="1.0" encoding="utf-8"?>
<sst xmlns="http://schemas.openxmlformats.org/spreadsheetml/2006/main" count="538" uniqueCount="248">
  <si>
    <t>FORMAS DE CAPACITAÇÃO</t>
  </si>
  <si>
    <t xml:space="preserve">Aconselhamento / Mentoramento / Coaching </t>
  </si>
  <si>
    <t xml:space="preserve">Aprendizado no Ambiente de Trabalho / On the job </t>
  </si>
  <si>
    <t xml:space="preserve">Auto-instrução ou Leitura Orientada </t>
  </si>
  <si>
    <t xml:space="preserve">Conferência ou Forum Internacional </t>
  </si>
  <si>
    <t xml:space="preserve">Conferência ou Forum Nacional </t>
  </si>
  <si>
    <t xml:space="preserve">Curso Presencial </t>
  </si>
  <si>
    <t xml:space="preserve">Doutorado </t>
  </si>
  <si>
    <t xml:space="preserve">Estágio no Brasil </t>
  </si>
  <si>
    <t xml:space="preserve">Estágio no Exterior </t>
  </si>
  <si>
    <t xml:space="preserve">Grupo de Aprendizagem / Rede de Feedback / Comunidade Virtual / Groupware </t>
  </si>
  <si>
    <t xml:space="preserve">Mestrado </t>
  </si>
  <si>
    <t xml:space="preserve">Oficina de Trabalho / Dinâmica de Grupo / Workshop / Jogos e Simulações </t>
  </si>
  <si>
    <t xml:space="preserve">Palestra / Clínica Institucional </t>
  </si>
  <si>
    <t xml:space="preserve">Pós-Doutorado </t>
  </si>
  <si>
    <t xml:space="preserve">Tele-Conferência </t>
  </si>
  <si>
    <t xml:space="preserve">Treinamento de Integração ou de Ambientação </t>
  </si>
  <si>
    <t xml:space="preserve">Visita Técnica </t>
  </si>
  <si>
    <t xml:space="preserve">Seminário, Congresso, Conferência, Encontro ou Fórum Internacional </t>
  </si>
  <si>
    <t xml:space="preserve">Seminário, Congresso, Conferência, Encontro ou Fórum Nacional </t>
  </si>
  <si>
    <t>Mestrado a distância</t>
  </si>
  <si>
    <t>Pós-Doutorado a distância</t>
  </si>
  <si>
    <t xml:space="preserve">Curso a Distância / Treinamento Virtual / E-Learning </t>
  </si>
  <si>
    <t xml:space="preserve">Doutorado a Distância </t>
  </si>
  <si>
    <t>Logística</t>
  </si>
  <si>
    <t>Planejamento</t>
  </si>
  <si>
    <t>Auditoria</t>
  </si>
  <si>
    <t>Informática - sistemas informatizados do Governo Federal</t>
  </si>
  <si>
    <t xml:space="preserve">Informática - aplicativos e sistemas internos </t>
  </si>
  <si>
    <t>Informática - programação e tecnologia da informação</t>
  </si>
  <si>
    <t>Desenvolvimento Gerencial</t>
  </si>
  <si>
    <t>Agricultura, Extrativismo e Pesca</t>
  </si>
  <si>
    <t>Defesa e Segurança</t>
  </si>
  <si>
    <t>Educação</t>
  </si>
  <si>
    <t>Meio Ambiente</t>
  </si>
  <si>
    <t>Pessoa, Família e Sociedade</t>
  </si>
  <si>
    <t>Relações Internacionais</t>
  </si>
  <si>
    <t>Trabalho</t>
  </si>
  <si>
    <t>QUANTITATIVO DE SERVIDORES</t>
  </si>
  <si>
    <t>Gestão de Pessoas</t>
  </si>
  <si>
    <t>Outros</t>
  </si>
  <si>
    <t>Forma de Capacitação</t>
  </si>
  <si>
    <t>ÁREAS</t>
  </si>
  <si>
    <t>Intercâmbio</t>
  </si>
  <si>
    <t>Ex: SIAPE, SIAFI, SIDOR, SIGPLAN e demais sistemas do Governo Federal.</t>
  </si>
  <si>
    <t>Ética</t>
  </si>
  <si>
    <t>Ciência e Tecnologia</t>
  </si>
  <si>
    <t>Comunicação</t>
  </si>
  <si>
    <t>Gestão da Informação</t>
  </si>
  <si>
    <t>Economia, Orçamento e Finanças</t>
  </si>
  <si>
    <t xml:space="preserve">Direito e Justiça </t>
  </si>
  <si>
    <t>Transportes</t>
  </si>
  <si>
    <t>Habitação, Saneamento, Urbanismo e Trânsito</t>
  </si>
  <si>
    <t>Biotecnologia; ciência espacial; desenvolvimento tecnológico; pesquisa científica e tecnológica; e outras afins.</t>
  </si>
  <si>
    <t>Serviços postais; telecomunicações; veículos de comunicação (imprensa, rádio, televisão); e outras afins.</t>
  </si>
  <si>
    <t xml:space="preserve">Ações voltadas à capacitação gerencial do servidor e sua qualificação para o exercício de atividades de direção e assessoramento. </t>
  </si>
  <si>
    <t>Direito Civil; Direito Administrativo; Direito Penal; outras áreas do Direito; Ação judiciária; Anistia política; Conselhos de justiça; Execução penal; Formação de pessoal penal e penitenciário; Política Nacional de Justiça; Acompanhamento processual; Jurisprudência; e outras afins.</t>
  </si>
  <si>
    <t xml:space="preserve">Assistência ao estudante; Avaliação do sistema educacional; Educação a distância; Educação ambiental; Educação básica; Educação de jovens e adultos; Educação do campo; Educação indígena; Educação para quilombolas; Educação profissional e tecnológica; Educação superior; Financiamento da educação; Gestão escolar; Legislação educacional; Métodos e meios de ensino e aprendizagem; Parâmetros e diretrizes curriculares nacionais; Profissionais da educação; e outras afins.   </t>
  </si>
  <si>
    <t>Código de conduta; Sindicância; Processo administrativo disciplinar; e outras afins.</t>
  </si>
  <si>
    <t>Arquivos; Bibliotecas; Centrais de Documentação; Classificação da informação; Museus; Preservação da Informação; e outras afins.</t>
  </si>
  <si>
    <t>Habitação; Planejamento urbano; Saneamento; Serviços Urbanos; Urbanismo; Trânsito; Acessibilidade e Mobilidade urbana; e outras afins.</t>
  </si>
  <si>
    <t>Sistemas de informação internos dos órgãos; softwares; software livre; e outras afins.</t>
  </si>
  <si>
    <t>Internet; Meios de acesso; Multimídia; Redes; Robótica; Segurança da Informação; e outras afins.</t>
  </si>
  <si>
    <t>Assistência e Desenvolvimento Social; Participação e Controle Social; Comunidade e Sociedade; Povos indígenas; Organização e Participação da Sociedade Civil; Direitos e deveres individuais; Previdência Social; Proteção e defesa do cidadão; e outras afins.</t>
  </si>
  <si>
    <t>Saúde</t>
  </si>
  <si>
    <t xml:space="preserve">Promoção da Saúde; Proteção da saúde; Recuperação da Saúde; Recursos humanos em saúde; Sistema de informação em saúde; Sistema de Saúde (saúde suplementar e Sistema Único de Saúde - SUS); e outras afins.  </t>
  </si>
  <si>
    <t xml:space="preserve">NOME DO ÓRGÃO / ENTIDADE (1) </t>
  </si>
  <si>
    <t xml:space="preserve">ANO DE REFERÊNCIA (2) </t>
  </si>
  <si>
    <t xml:space="preserve">DIRIGENTE DE RH (3) </t>
  </si>
  <si>
    <t xml:space="preserve">TELEFONE (4) </t>
  </si>
  <si>
    <t xml:space="preserve">ENDEREÇO ELETRÔNICO: (5)  </t>
  </si>
  <si>
    <t xml:space="preserve">ÁREAS (8) </t>
  </si>
  <si>
    <t xml:space="preserve">FORMA DE CAPACITAÇÃO  (9) </t>
  </si>
  <si>
    <t>DETALHAMENTO</t>
  </si>
  <si>
    <t>Abastecimento; Agricultura familiar; Agricultura de subsistência; Agricultura orgânica; Alimento; Assistência técnica; Defesa Vegetal; Engenharia agrícola; Extensão rural; Extrativismo; Reforma Agrária; Organização Agrária; Pecuária; Pesca; Produção vegetal; Produto vegetal; Solos; Transgenia e seqüenciamento; e outras afins.</t>
  </si>
  <si>
    <t>Organizações internacionais; Política externa; Relações diplomáticas; Serviços consulares; e outras afins.</t>
  </si>
  <si>
    <t>Indústria, Comércio e Serviços</t>
  </si>
  <si>
    <t xml:space="preserve">Turismo; Cultura; Esporte; Lazer ; e outras afins. </t>
  </si>
  <si>
    <t>Turismo, Cultura, Lazer e Esporte</t>
  </si>
  <si>
    <t>COMPETÊNCIAS DESENVOLVIDAS (10)</t>
  </si>
  <si>
    <t>Formação inicial para novos servidores</t>
  </si>
  <si>
    <t>Diretrizes da Política Nacional de Desenvolvimento de Pessoal - inciso IX do art. 3º do Decreto nº 5.707/2006 - oferecer e garantir cursos introdutórios ou de formação, respeitadas as normas específicas aplicáveis a cada carreira ou cargo, aos servidores que ingressarem no setor público, inclusive àqueles sem vínculo efetivo com a administração pública.</t>
  </si>
  <si>
    <t xml:space="preserve">OUTROS. Especificar </t>
  </si>
  <si>
    <t xml:space="preserve">Fiscalização do trabalho; Legislação trabalhista; Mercado de trabalho; Política trabalhista; Profissões e ocupações; Trabalho estrangeiro; e outras afins. </t>
  </si>
  <si>
    <t>Controle interno; Auditoria pública; Correição, Prevenção e combate à corrupção; Ouvidoria; Tomada e Prestação de contas; e outras afins.</t>
  </si>
  <si>
    <t>Administração financeira; Economia; Política econômica; Encargos financeiros; Finanças; Haveres da União; Contabilidade Pública; Dívida Pública; Elaboração e execução orçamentária e financeira; Arrecadação federal; Receita federal; Administração tributária; Impostos e Contribuições Federais; Processo Administrativo Fiscal; e outras afins.</t>
  </si>
  <si>
    <t>Política e gestão industrial; Produção industrial; Metrologia; Qualidade industrial; Comércio e Serviços; desenvolvimento da produção; comércio exterior; e outras afins.</t>
  </si>
  <si>
    <t xml:space="preserve">Áreas Protegidas (Parques, Unidades de conservação); Biodiversidade; Desenvolvimento sustentável; Educação ambiental; Fenômenos naturais; Gestão do meio ambiente; Recursos naturais; Recursos hídricos; Recursos energéticos; recursos minerais; produção mineral; e outras afins.  </t>
  </si>
  <si>
    <t>Desenvolvimento Regional</t>
  </si>
  <si>
    <t>Políticas de desenvolvimento regional; Programas de desenvolvimento regional.</t>
  </si>
  <si>
    <t>Transporte aéreo; Aviação Civil; Transporte aquaviário (hidroviário); Transporte dutoviário; Transporte ferroviário; Transporte internacional; Transporte multimodal; Transporte rodoviário; Transportes especiais; e outras afins.</t>
  </si>
  <si>
    <t>Defesa Nacional; Aeronáutica; Exército; Marinha; Defesa Civil; Segurança Nacional; Segurança pública; Serviço de inteligência; e outras afins.</t>
  </si>
  <si>
    <t>Promoção funcional</t>
  </si>
  <si>
    <t>Diretrizes da Política Nacional de Desenvolvimento de Pessoal - inciso VI do art. 3º do Decreto nº 5.707/2006 - incentivar a inclusão das atividades de capacitação como requisito para a promoção funcional do servidor nas carreiras da administração pública federal direta, autárquica e fundacional, e assegurar a ele a participação nessas atividades.</t>
  </si>
  <si>
    <t>Legislação de pessoal; Gestão por competências; Capacitação; Concursos; Estágio; Carreira; Remuneração; Cadastro e Pagamento; Seguridade e Benefícios; administração de conflitos; e outras afins.</t>
  </si>
  <si>
    <t>Planejamento estratégico; Plano Plurianual; Elaboração e avaliação de programas e projetos; Elaboração de indicadores de desempenho; análise e melhoria de processos; e outras afins.</t>
  </si>
  <si>
    <t>Patrimônio; Materiais; Compras; Licitação, Contratos e Convênios; Termos de parceria; e outras afins.</t>
  </si>
  <si>
    <t>Especificar (ex: cursos de idiomas, inclusive Português; Cerimonial; Secretariado; Negociação; etc.).</t>
  </si>
  <si>
    <r>
      <t xml:space="preserve">Pós-Graduação </t>
    </r>
    <r>
      <rPr>
        <i/>
        <sz val="11.5"/>
        <rFont val="Arial"/>
        <family val="2"/>
      </rPr>
      <t>lato sensu</t>
    </r>
    <r>
      <rPr>
        <sz val="11.5"/>
        <rFont val="Arial"/>
        <family val="2"/>
      </rPr>
      <t xml:space="preserve">, Especialização ou MBA </t>
    </r>
  </si>
  <si>
    <r>
      <t xml:space="preserve">Pós-Graduação </t>
    </r>
    <r>
      <rPr>
        <i/>
        <sz val="11.5"/>
        <rFont val="Arial"/>
        <family val="2"/>
      </rPr>
      <t>lato sensu</t>
    </r>
    <r>
      <rPr>
        <sz val="11.5"/>
        <rFont val="Arial"/>
        <family val="2"/>
      </rPr>
      <t>, Especialização ou MBA a distância</t>
    </r>
  </si>
  <si>
    <t xml:space="preserve">QUANTITATIVO DE SERVIDORES EM EXERCÍCIO NO ÓRGÃO / ENTIDADE NÃO OCUPANTES DE CARGO EM COMISSÃO OU CORRESPONDENTES: (6) </t>
  </si>
  <si>
    <t xml:space="preserve">QUANTITATIVO DE OCUPANTES DE CARGOS EM COMISSÃO OU CORRESPONDENTES: (7) </t>
  </si>
  <si>
    <t>CD1</t>
  </si>
  <si>
    <t>CD2</t>
  </si>
  <si>
    <t>CD3</t>
  </si>
  <si>
    <t>CD4</t>
  </si>
  <si>
    <t xml:space="preserve">QUANTITATIVO DE SERVIDORES SEM CARGO EM COMISSÃO CAPACITADOS   (11) </t>
  </si>
  <si>
    <t>QUANTITATIVO DE SERVIDORES CAPACITADOS OCUPANTES DE OUTRAS FUNÇÕES DE DESEMPENHO GERENCIAL (12)</t>
  </si>
  <si>
    <t xml:space="preserve">QUANTITATIVO DE OCUPANTES DE CARGOS EM COMISSÃO, OU CORRESPONDENTES, CAPACITADOS  (13) </t>
  </si>
  <si>
    <t>FG's que desempenham funções gerenciais:</t>
  </si>
  <si>
    <t xml:space="preserve">QUANTITATIVO  GERAL DE SERVIDORES CAPACITADOS   (14) </t>
  </si>
  <si>
    <t>CARGA HORÁRIA TOTAL DAS AÇÕES (15)</t>
  </si>
  <si>
    <t xml:space="preserve">TOTAL  (17) </t>
  </si>
  <si>
    <t>ÓRGÃO/ENTIDADE</t>
  </si>
  <si>
    <t xml:space="preserve">RELATÓRIO DE EXECUÇÃO DO PLANO DE CAPACITAÇÃO - Instituições Federais de Ensino </t>
  </si>
  <si>
    <t>Fundação Universidade Federal do Vale do São Francisco - UNIVASF</t>
  </si>
  <si>
    <t xml:space="preserve">Luzia Coelho Rodrigues </t>
  </si>
  <si>
    <t>(87) 3862 9347</t>
  </si>
  <si>
    <t>luzia.coelho@univasf.edu.br</t>
  </si>
  <si>
    <t xml:space="preserve">CD 1:  1                     </t>
  </si>
  <si>
    <t xml:space="preserve">CD 3:   10                     </t>
  </si>
  <si>
    <t>CD 4:  14</t>
  </si>
  <si>
    <t>CD 2:  01</t>
  </si>
  <si>
    <t>Ampliar conhecimento no II Encontro Pedagógico da UNIVASF</t>
  </si>
  <si>
    <t>Atualizar conhecimento no II Congresso Brasileiro de Pregoeiros</t>
  </si>
  <si>
    <t>FG</t>
  </si>
  <si>
    <t>Ampliar conhecimento referente ao Treinamento Técnico dos serviços do Almoxarifado desta Universidade</t>
  </si>
  <si>
    <t>Diárias</t>
  </si>
  <si>
    <t>Passagens</t>
  </si>
  <si>
    <t>Inscrição</t>
  </si>
  <si>
    <t>Total</t>
  </si>
  <si>
    <t>Ampliar conhecimento ref. Capacitação de Comunicação Social na UFRPE</t>
  </si>
  <si>
    <t xml:space="preserve">Ampliar conhecimento na Reunião dos Coordenadores de Pós-graduação da área de Zootecnica e Recursos Pesqueiros na UNESP Brasil na área de Zootecnia </t>
  </si>
  <si>
    <t xml:space="preserve"> </t>
  </si>
  <si>
    <t>Seminário Nacional: Como Licitar e fiscalizar contratos de terceirização e serviços da administração pública</t>
  </si>
  <si>
    <t>Seminário de Saúde e Qualidade de Vida em São Raimundo Nonato-PI</t>
  </si>
  <si>
    <t>Treinamento Sobre Sistema de Patrimônio na Universidade Federal do  Paraná</t>
  </si>
  <si>
    <t>II Encontro Pedagógico da UNIVASF</t>
  </si>
  <si>
    <t>Capacitação dos novos técnicos lotados no setor de tecnologia da informação com relação a instalação e importação de dados</t>
  </si>
  <si>
    <t>Seminário  de Avaliação do de Expansão das Universidades Federais Brasileiras e a Universidade do Século XXI</t>
  </si>
  <si>
    <t>Seminário de Avaliação do Programa de Expansão das Universidades Brasileiras</t>
  </si>
  <si>
    <t>Seminário Nacional: Como Previnir, enfrentar e superar os principais problemas na condução das licitação e pregões.</t>
  </si>
  <si>
    <t>I Workshop de Tecnologia da Informação das IFES</t>
  </si>
  <si>
    <t>Visita técnica para conhever a estrutura física e organizacional de Instituições de Ensino Superior dos cursos de Medicina Veterinária da UFBA e UNIME</t>
  </si>
  <si>
    <t>Reunião ref. Apresentação do Programa CAPES-CONFECUB na UFC em Fortraleza</t>
  </si>
  <si>
    <t>Curso para Multiplicadores em Capacitação de Técnica de Planejamento (SIMEC)</t>
  </si>
  <si>
    <t xml:space="preserve">IV Semana  de Administração Orçamentária e Financeira e de Contratações Públicas </t>
  </si>
  <si>
    <t>I Simpósio de Educação Médica da UNIVASF</t>
  </si>
  <si>
    <t>IX Encontro do Usuário PERGAMUM - Sistema Integrado de Bibliotecas</t>
  </si>
  <si>
    <t xml:space="preserve">I Simpósio Baiano de Arquivologia </t>
  </si>
  <si>
    <t>Curso de Capacitação sobre o SISOSP - Sistema Integrado de Saúde Ocupacional do Sevidores Públicos da região Nordeste</t>
  </si>
  <si>
    <t>Curso de Obras e Serviços de Engenharia - Aspectos Polêmicos das Licitações e Contratos</t>
  </si>
  <si>
    <t>Treinamento do Sistema SIASG</t>
  </si>
  <si>
    <t>Pós-Graduação lato sensu, Especialização ou MBA a distância</t>
  </si>
  <si>
    <t>XXVI Fórum Nacional dos Auditores Internos das Instituições Federais Vinculadas ao MEC</t>
  </si>
  <si>
    <t>30ª Reunião Anual da Sociedade Brasileira de Química</t>
  </si>
  <si>
    <t>Conhecer as rotinas de trabalho da Auditoria Interna da UFES</t>
  </si>
  <si>
    <t>II Mostra de Integração/Extensão da UNIVASF</t>
  </si>
  <si>
    <t>XII Encontro Nacional de Coordeneadores de Curso de Engenharia de Produção</t>
  </si>
  <si>
    <t>XV  Fórum Nacional dos Diretores de Contabilidade e Finanças</t>
  </si>
  <si>
    <t>I Encontro Nordestino de Empreendedorismo Inovador</t>
  </si>
  <si>
    <t xml:space="preserve">Visita técnica à Fabrica BASF </t>
  </si>
  <si>
    <t>11ª Feira Internacional de Máquinas Ferramentas e Sistemas Integrados de Manufatura</t>
  </si>
  <si>
    <t>I Encontro Nacional de Pesquisadores em Gestão</t>
  </si>
  <si>
    <t>XXIII Encontro Nacional do Fórum de Pró-Reitores de Extensão das Universidades Públicas Brasileiras</t>
  </si>
  <si>
    <t>XI Fórum Nacional de Coordenadores de Engenharia Ambiental e Curso de Reciclagem</t>
  </si>
  <si>
    <t>I Oficina de Trabalho - " UFBA - Universidade Nova"</t>
  </si>
  <si>
    <t>VI Congresso Brasileiro de Geotecnia Ambiental e do V Simpósio Brasileiro de Geossintéticos.</t>
  </si>
  <si>
    <t>Visita Técnica ao Centro Tecnológico e ao Polo Gesseiro</t>
  </si>
  <si>
    <t>Curso de Elaboração de Efitais para aquisição no Serviço Público e Pregoeiro</t>
  </si>
  <si>
    <t>VI Encontro Nacional de Intelifgência Artificial junto ao XXVII Congresso da SBC</t>
  </si>
  <si>
    <t>Curso de Especialização em Desenvolvimento de Pessoas</t>
  </si>
  <si>
    <t>59ª SBPC - com o tema : Amazônia - Desafio Nacional</t>
  </si>
  <si>
    <t xml:space="preserve">II Plenária do Colégio de Gestores de TIC </t>
  </si>
  <si>
    <t>XXX Reunião Nordestina de Botânica</t>
  </si>
  <si>
    <t xml:space="preserve">X Congresso Latino Americano de Medicina Social </t>
  </si>
  <si>
    <t>Gestão de Informação</t>
  </si>
  <si>
    <t>Curso de Preservação, Conservação e Restruturação do Acervo Bibliográfico</t>
  </si>
  <si>
    <t>Seminário "Projeto Básico, Executivo e Orçamento para Licitação e Contratação de Obras e Serviços de Engenharia"</t>
  </si>
  <si>
    <t>XVI Simpósio Nacional de Bioprocessos</t>
  </si>
  <si>
    <t>Seminário sobre Gestão de Contratos e Fiscalização de Obras e Serviços de Engenharia</t>
  </si>
  <si>
    <t>36º Congresso Brasileiro de Engenharia Agrícola</t>
  </si>
  <si>
    <t>Visita técnica no terrirório do SISAL</t>
  </si>
  <si>
    <t>1º Seminário Nacional do Programa de Apoio a Planos de Reestruturação e Expansão das Universidades Federais</t>
  </si>
  <si>
    <t>Workshop das consolidações - Produção Arqueológica do Médio São Francisco</t>
  </si>
  <si>
    <t>Curso de Instrumentação em Higiene Ocupacional - Prática e Interpretação das Avaliações</t>
  </si>
  <si>
    <t>X Simpósio de Administração da Produção, logística e operações</t>
  </si>
  <si>
    <t>I Fórum Nacional de Pró-Reitores de Assuntos Comunitários e Estudantis - Regionais Norte/Nordeste</t>
  </si>
  <si>
    <t>Seminário Nacional "Contratação Direta, Pregão Presencial e Eletrônico e Sistema de Registro de Preços</t>
  </si>
  <si>
    <t>Welson</t>
  </si>
  <si>
    <t>Zeneida</t>
  </si>
  <si>
    <t>Alvany</t>
  </si>
  <si>
    <t>Curso de Projetos de Redes de Computadores- RNP</t>
  </si>
  <si>
    <t>10º Congresso Brasileiro dos dos Conselhos de Enfermagem - CBCENF</t>
  </si>
  <si>
    <t>Treinamento do DW(Data WareHouse SIAPE)</t>
  </si>
  <si>
    <t xml:space="preserve">Atualizar conhecimentos na Internacitional Conference on Computational Modeling and SimulaTion for the Petroleum </t>
  </si>
  <si>
    <t>Atualizar conhecimentos no curso de Formação Básica em gestão Social</t>
  </si>
  <si>
    <t xml:space="preserve">XXXV Congresso Brasileiro de Ensino de Engenharia </t>
  </si>
  <si>
    <t>Workshop on persperctives, challenges and oppo rtunities forhuman-computer interactions in latina america</t>
  </si>
  <si>
    <t>II SEPRONE - Simpósio de Engenharia de Produção da Região Nordeste</t>
  </si>
  <si>
    <t>Treinamento do SIAPECAD</t>
  </si>
  <si>
    <t>VII Conferência Estadual de Saúde</t>
  </si>
  <si>
    <t>XI Congresso Brasileiro de Fisiologia Vegetal - CBFV</t>
  </si>
  <si>
    <t xml:space="preserve">VI Simpósio Brasileiro de Farmacologia </t>
  </si>
  <si>
    <t xml:space="preserve">I Congresso Internacional da Sociedade Brasileira de Arqueologia - SAB </t>
  </si>
  <si>
    <t>Jonildo</t>
  </si>
  <si>
    <t>Curso Interconnecting isco Network Devices</t>
  </si>
  <si>
    <t>IV Semana de Administração Orçamentária, Financeira e de Contratações Pública</t>
  </si>
  <si>
    <t>Henrique, Marcos, Josaias</t>
  </si>
  <si>
    <t>VIII Congresso de Ecologia do Brasil</t>
  </si>
  <si>
    <t xml:space="preserve">Seminário Regional de Ensino de Medicina Veterinária </t>
  </si>
  <si>
    <t>2º Congresso Brasileiro de MICROBIOLOGIA</t>
  </si>
  <si>
    <t xml:space="preserve">V Congresso Mineiro de Secretariado </t>
  </si>
  <si>
    <t>16h30</t>
  </si>
  <si>
    <t>IX Congresso Brasileiro de Clínica Médica com curso de Perícia Médica</t>
  </si>
  <si>
    <t>1º Encontro do Curso de Gestão da Internacionalização Universitária</t>
  </si>
  <si>
    <t>XXVII Encontro Nacional de Engenharia de Produção - ENGEP 2007</t>
  </si>
  <si>
    <t>I Congresso Norte/Nordeste de Educação à distância</t>
  </si>
  <si>
    <t>I Seminário Nacional de Encerramento do Exercício Financeiro no Setor Público</t>
  </si>
  <si>
    <t>Curso de direito eletrônico na administração pública - segurança na informação e os riscos legais</t>
  </si>
  <si>
    <t>XXV Encontro de Físicos do Norte e Nordeste - EFNNE</t>
  </si>
  <si>
    <t>I Congresso Nordestino de Extensão Universitário- CNEU</t>
  </si>
  <si>
    <t>13º Seminário RNP de Capacitação e Inovação ministrado pela RNP</t>
  </si>
  <si>
    <t xml:space="preserve">XIV Encontro ABRASPO </t>
  </si>
  <si>
    <t>VI Conferência Regional de ISTR para América Latina Y EL CARIBE</t>
  </si>
  <si>
    <t>Visita Técnica aos departamentos de engenharia mecânica e metalúrgica da UFMG</t>
  </si>
  <si>
    <t>I Curso de Gestão da Internacionalização Universitária</t>
  </si>
  <si>
    <t>Visita Técnica à empresa Industrial e Comercial Jandaia LTDA e à EMBRAPA Agroindústria Tropical</t>
  </si>
  <si>
    <t>Workshop sobre Estratégias para uma Política de C, T &amp; I</t>
  </si>
  <si>
    <t>Ampliar conhecimento no Workshop sobre Estratégias para uma Política de CR &amp;I: Um olhar para Pernambuco</t>
  </si>
  <si>
    <t>Ampliar conhecimento participando do VII Encontro Regional de Matemática Aplicada e Computacional</t>
  </si>
  <si>
    <t>Ampliar conhecimento participando da Conferência Internacional sobre "ENDOSCOPIT TREAMENT FOR EARLY GASTRI CÂNCER"</t>
  </si>
  <si>
    <t>Ampliar conhecimento particioando do 5º Congresso Brasileiro de Micologia</t>
  </si>
  <si>
    <t>Participação na Feira do Empreendedor promovida pelo SEBRAE</t>
  </si>
  <si>
    <t>Ampliar conhecimentos no V Encontro Nacional de Dirigentes de Pessoal e Técnicos de Recursos Humanos do SIPEC</t>
  </si>
  <si>
    <t>Apresentar trabalho no II Simpósio de Nutrição e Saúde de Peixes</t>
  </si>
  <si>
    <t>Ampliar conhecimento participando da XVII Reunião Extraordinária do Fórum Nacional de Diretores de Contabilidade e Finanças das Universidades Brasileiras</t>
  </si>
  <si>
    <t>Ampliar conhecimento no Curso de Aquicultura e Medicina de Animais Aquáticos para Médicos Veterinários</t>
  </si>
  <si>
    <t>Participar de Oficina a fim de discutir a elaboração de Planos de Recursos Hídricos do Estado da Bahia</t>
  </si>
  <si>
    <t>Informática Programação e Tecnologia</t>
  </si>
  <si>
    <t>Continuar a capacitação no curso de Projetos de Redes de Computados</t>
  </si>
  <si>
    <t>Participar da reunião executiva Nacional do COEP</t>
  </si>
  <si>
    <t>Ampliar conhecimentos no 2º Seminário Nacional de Rede de Capacitação e Extensão Tecnológica-RECESA.</t>
  </si>
  <si>
    <t>XXVII Encontro da Comissão Nacional dos Dirigentes de Pessoal</t>
  </si>
  <si>
    <t>Conhecer in loco a estrutura física e organizacional de Instituição de Ens. Superior para subsidiar tecnicamente o desensenv. do projeto do curso de zootecnia.</t>
  </si>
  <si>
    <t>Amoliar conhecimentos no Seminário do Instituto Nacional de Estudos e Pesquisas Educacionais Anísio Teixeira-INEP/ABEP</t>
  </si>
  <si>
    <t>Ampliar conhecimento no Seminário das Cidades Rurais e Agro-Negócios</t>
  </si>
  <si>
    <t>1ª Reunião de Análise Climática e Previsão Climática para a região semi-árida do Nordeste.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</si>
</sst>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0;[Red]&quot;R$ &quot;#,##0.00"/>
    <numFmt numFmtId="168" formatCode="0.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i/>
      <sz val="11.5"/>
      <name val="Arial"/>
      <family val="2"/>
    </font>
    <font>
      <sz val="10"/>
      <name val="Times New Roman"/>
      <family val="1"/>
    </font>
    <font>
      <b/>
      <sz val="11.5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.5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8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8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1" fillId="8" borderId="1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top"/>
    </xf>
    <xf numFmtId="0" fontId="11" fillId="0" borderId="2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" fillId="0" borderId="15" xfId="44" applyBorder="1" applyAlignment="1" applyProtection="1">
      <alignment horizontal="left"/>
      <protection/>
    </xf>
    <xf numFmtId="0" fontId="11" fillId="8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3" fillId="8" borderId="27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3" fillId="8" borderId="19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43" fontId="3" fillId="8" borderId="28" xfId="53" applyFont="1" applyFill="1" applyBorder="1" applyAlignment="1">
      <alignment horizontal="right" vertical="top" wrapText="1"/>
    </xf>
    <xf numFmtId="44" fontId="3" fillId="8" borderId="29" xfId="47" applyFont="1" applyFill="1" applyBorder="1" applyAlignment="1">
      <alignment horizontal="right" vertical="top" wrapText="1"/>
    </xf>
    <xf numFmtId="43" fontId="3" fillId="0" borderId="14" xfId="53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44" fontId="15" fillId="0" borderId="14" xfId="47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3" fontId="3" fillId="0" borderId="33" xfId="53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43" fontId="3" fillId="0" borderId="36" xfId="53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7" xfId="0" applyFont="1" applyBorder="1" applyAlignment="1">
      <alignment horizontal="left" vertical="top" wrapText="1"/>
    </xf>
    <xf numFmtId="44" fontId="3" fillId="0" borderId="38" xfId="47" applyFont="1" applyFill="1" applyBorder="1" applyAlignment="1">
      <alignment horizontal="right" vertical="top" wrapText="1"/>
    </xf>
    <xf numFmtId="0" fontId="16" fillId="0" borderId="14" xfId="0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/>
    </xf>
    <xf numFmtId="43" fontId="0" fillId="0" borderId="0" xfId="53" applyFont="1" applyAlignment="1">
      <alignment horizontal="right"/>
    </xf>
    <xf numFmtId="44" fontId="3" fillId="0" borderId="40" xfId="47" applyFont="1" applyFill="1" applyBorder="1" applyAlignment="1">
      <alignment horizontal="right" vertical="top" wrapText="1"/>
    </xf>
    <xf numFmtId="44" fontId="3" fillId="0" borderId="14" xfId="47" applyFont="1" applyFill="1" applyBorder="1" applyAlignment="1">
      <alignment horizontal="right" vertical="top" wrapText="1"/>
    </xf>
    <xf numFmtId="0" fontId="11" fillId="8" borderId="41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wrapText="1"/>
    </xf>
    <xf numFmtId="0" fontId="12" fillId="0" borderId="15" xfId="0" applyFont="1" applyBorder="1" applyAlignment="1">
      <alignment horizontal="left" vertical="top" wrapText="1"/>
    </xf>
    <xf numFmtId="0" fontId="6" fillId="8" borderId="43" xfId="0" applyFont="1" applyFill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6" fillId="8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wrapText="1"/>
    </xf>
    <xf numFmtId="0" fontId="11" fillId="8" borderId="5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wrapText="1"/>
    </xf>
    <xf numFmtId="0" fontId="11" fillId="8" borderId="53" xfId="0" applyFont="1" applyFill="1" applyBorder="1" applyAlignment="1">
      <alignment horizontal="center" vertical="center" wrapText="1"/>
    </xf>
    <xf numFmtId="0" fontId="11" fillId="8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914400</xdr:colOff>
      <xdr:row>1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80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914400</xdr:colOff>
      <xdr:row>2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085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304800</xdr:colOff>
      <xdr:row>2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1085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zia.coelho@univasf.edu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5"/>
  <sheetViews>
    <sheetView tabSelected="1" zoomScale="75" zoomScaleNormal="75" zoomScalePageLayoutView="0" workbookViewId="0" topLeftCell="B7">
      <pane xSplit="4" ySplit="7" topLeftCell="F14" activePane="bottomRight" state="frozen"/>
      <selection pane="topLeft" activeCell="B7" sqref="B7"/>
      <selection pane="topRight" activeCell="F7" sqref="F7"/>
      <selection pane="bottomLeft" activeCell="B14" sqref="B1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21.28125" style="0" customWidth="1"/>
    <col min="3" max="3" width="21.00390625" style="0" customWidth="1"/>
    <col min="4" max="4" width="19.421875" style="0" customWidth="1"/>
    <col min="5" max="5" width="14.8515625" style="0" customWidth="1"/>
    <col min="6" max="6" width="13.8515625" style="0" customWidth="1"/>
    <col min="7" max="12" width="4.421875" style="0" customWidth="1"/>
    <col min="13" max="13" width="5.8515625" style="0" customWidth="1"/>
    <col min="14" max="14" width="17.57421875" style="0" bestFit="1" customWidth="1"/>
    <col min="15" max="15" width="9.8515625" style="0" customWidth="1"/>
    <col min="16" max="16" width="13.57421875" style="0" customWidth="1"/>
    <col min="17" max="17" width="12.57421875" style="0" customWidth="1"/>
    <col min="18" max="18" width="12.7109375" style="0" customWidth="1"/>
    <col min="19" max="19" width="20.57421875" style="0" customWidth="1"/>
    <col min="21" max="21" width="36.421875" style="0" customWidth="1"/>
  </cols>
  <sheetData>
    <row r="1" spans="2:19" ht="19.5" customHeight="1" thickBot="1">
      <c r="B1" s="98" t="s">
        <v>114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2" spans="2:23" s="22" customFormat="1" ht="13.5" customHeight="1">
      <c r="B2" s="32" t="s">
        <v>66</v>
      </c>
      <c r="C2" s="23"/>
      <c r="D2" s="92" t="s">
        <v>115</v>
      </c>
      <c r="E2" s="92"/>
      <c r="F2" s="92"/>
      <c r="G2" s="92"/>
      <c r="H2" s="92"/>
      <c r="I2" s="92"/>
      <c r="J2" s="92"/>
      <c r="K2" s="92"/>
      <c r="L2" s="92"/>
      <c r="M2" s="92"/>
      <c r="N2" s="24"/>
      <c r="O2" s="24"/>
      <c r="P2" s="24"/>
      <c r="Q2" s="24"/>
      <c r="R2" s="24"/>
      <c r="S2" s="25"/>
      <c r="V2" s="26"/>
      <c r="W2" s="26"/>
    </row>
    <row r="3" spans="2:19" s="22" customFormat="1" ht="12">
      <c r="B3" s="33" t="s">
        <v>67</v>
      </c>
      <c r="C3" s="23"/>
      <c r="D3" s="23">
        <v>2006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</row>
    <row r="4" spans="2:19" s="22" customFormat="1" ht="14.25" customHeight="1">
      <c r="B4" s="33" t="s">
        <v>68</v>
      </c>
      <c r="C4" s="23"/>
      <c r="D4" s="92" t="s">
        <v>116</v>
      </c>
      <c r="E4" s="92"/>
      <c r="F4" s="92"/>
      <c r="G4" s="92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</row>
    <row r="5" spans="2:19" s="22" customFormat="1" ht="12.75">
      <c r="B5" s="33" t="s">
        <v>69</v>
      </c>
      <c r="C5" s="23"/>
      <c r="D5" s="23" t="s">
        <v>117</v>
      </c>
      <c r="E5" s="27"/>
      <c r="F5" s="27"/>
      <c r="G5" s="28" t="s">
        <v>70</v>
      </c>
      <c r="H5" s="24"/>
      <c r="I5" s="24"/>
      <c r="J5" s="24"/>
      <c r="K5" s="24"/>
      <c r="L5" s="24"/>
      <c r="M5" s="52" t="s">
        <v>118</v>
      </c>
      <c r="N5" s="24"/>
      <c r="O5" s="24"/>
      <c r="P5" s="24"/>
      <c r="Q5" s="24"/>
      <c r="R5" s="24"/>
      <c r="S5" s="25"/>
    </row>
    <row r="6" spans="2:19" ht="16.5" thickBo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2:19" ht="21.75" customHeight="1">
      <c r="B7" s="98" t="s">
        <v>38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19" ht="15.75" customHeight="1">
      <c r="B8" s="43" t="s">
        <v>100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>
        <v>268</v>
      </c>
      <c r="N8" s="10"/>
      <c r="O8" s="8"/>
      <c r="P8" s="8"/>
      <c r="Q8" s="8"/>
      <c r="R8" s="8"/>
      <c r="S8" s="9"/>
    </row>
    <row r="9" spans="2:19" ht="15.75" customHeight="1">
      <c r="B9" s="34" t="s">
        <v>101</v>
      </c>
      <c r="C9" s="35"/>
      <c r="D9" s="10"/>
      <c r="E9" s="8"/>
      <c r="F9" s="8"/>
      <c r="G9" s="8"/>
      <c r="H9" s="8"/>
      <c r="I9" s="21"/>
      <c r="J9" s="21"/>
      <c r="K9" s="21"/>
      <c r="L9" s="8"/>
      <c r="M9" s="8"/>
      <c r="N9" s="8"/>
      <c r="O9" s="8"/>
      <c r="P9" s="8"/>
      <c r="Q9" s="8"/>
      <c r="R9" s="8"/>
      <c r="S9" s="9"/>
    </row>
    <row r="10" spans="2:19" s="22" customFormat="1" ht="12">
      <c r="B10" s="36" t="s">
        <v>119</v>
      </c>
      <c r="C10" s="37" t="s">
        <v>122</v>
      </c>
      <c r="D10" s="37" t="s">
        <v>120</v>
      </c>
      <c r="E10" s="45" t="s">
        <v>121</v>
      </c>
      <c r="F10" s="45"/>
      <c r="G10" s="38"/>
      <c r="H10" s="37" t="s">
        <v>109</v>
      </c>
      <c r="I10" s="37"/>
      <c r="J10" s="38"/>
      <c r="K10" s="37"/>
      <c r="L10" s="37"/>
      <c r="M10" s="38"/>
      <c r="N10" s="38"/>
      <c r="O10" s="38">
        <v>71</v>
      </c>
      <c r="P10" s="38"/>
      <c r="Q10" s="38"/>
      <c r="R10" s="38"/>
      <c r="S10" s="46"/>
    </row>
    <row r="11" spans="2:19" ht="11.25" customHeight="1" thickBot="1">
      <c r="B11" s="7"/>
      <c r="C11" s="8"/>
      <c r="D11" s="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1:19" s="29" customFormat="1" ht="53.25" customHeight="1">
      <c r="A12" s="90" t="s">
        <v>113</v>
      </c>
      <c r="B12" s="90" t="s">
        <v>71</v>
      </c>
      <c r="C12" s="107" t="s">
        <v>72</v>
      </c>
      <c r="D12" s="107" t="s">
        <v>79</v>
      </c>
      <c r="E12" s="96" t="s">
        <v>106</v>
      </c>
      <c r="F12" s="96" t="s">
        <v>107</v>
      </c>
      <c r="G12" s="103" t="s">
        <v>108</v>
      </c>
      <c r="H12" s="104"/>
      <c r="I12" s="104"/>
      <c r="J12" s="104"/>
      <c r="K12" s="104"/>
      <c r="L12" s="104"/>
      <c r="M12" s="104"/>
      <c r="N12" s="108" t="s">
        <v>110</v>
      </c>
      <c r="O12" s="105" t="s">
        <v>111</v>
      </c>
      <c r="P12" s="53" t="s">
        <v>127</v>
      </c>
      <c r="Q12" s="53" t="s">
        <v>128</v>
      </c>
      <c r="R12" s="53" t="s">
        <v>129</v>
      </c>
      <c r="S12" s="101" t="s">
        <v>130</v>
      </c>
    </row>
    <row r="13" spans="1:19" s="22" customFormat="1" ht="45.75" customHeight="1">
      <c r="A13" s="91"/>
      <c r="B13" s="91"/>
      <c r="C13" s="97"/>
      <c r="D13" s="97"/>
      <c r="E13" s="97"/>
      <c r="F13" s="97"/>
      <c r="G13" s="30"/>
      <c r="H13" s="31" t="s">
        <v>125</v>
      </c>
      <c r="I13" s="31" t="s">
        <v>105</v>
      </c>
      <c r="J13" s="31" t="s">
        <v>104</v>
      </c>
      <c r="K13" s="31" t="s">
        <v>103</v>
      </c>
      <c r="L13" s="31" t="s">
        <v>102</v>
      </c>
      <c r="M13" s="48"/>
      <c r="N13" s="109"/>
      <c r="O13" s="106"/>
      <c r="P13" s="54"/>
      <c r="Q13" s="54"/>
      <c r="R13" s="54"/>
      <c r="S13" s="102"/>
    </row>
    <row r="14" spans="2:22" ht="76.5">
      <c r="B14" s="83" t="s">
        <v>24</v>
      </c>
      <c r="C14" s="57" t="s">
        <v>6</v>
      </c>
      <c r="D14" s="57" t="s">
        <v>126</v>
      </c>
      <c r="E14" s="15">
        <v>2</v>
      </c>
      <c r="F14" s="71">
        <v>1</v>
      </c>
      <c r="G14" s="71"/>
      <c r="H14" s="15"/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72">
        <v>3</v>
      </c>
      <c r="O14" s="73">
        <v>40</v>
      </c>
      <c r="P14" s="74">
        <v>613.46</v>
      </c>
      <c r="Q14" s="74">
        <f>194.62+115.42</f>
        <v>310.04</v>
      </c>
      <c r="R14" s="74"/>
      <c r="S14" s="84">
        <f aca="true" t="shared" si="0" ref="S14:S19">P14+Q14+R14</f>
        <v>923.5</v>
      </c>
      <c r="T14" s="65"/>
      <c r="U14" s="65"/>
      <c r="V14" s="65"/>
    </row>
    <row r="15" spans="2:22" ht="51">
      <c r="B15" s="83" t="s">
        <v>47</v>
      </c>
      <c r="C15" s="57" t="s">
        <v>6</v>
      </c>
      <c r="D15" s="57" t="s">
        <v>131</v>
      </c>
      <c r="E15" s="15">
        <v>1</v>
      </c>
      <c r="F15" s="71">
        <v>0</v>
      </c>
      <c r="G15" s="71"/>
      <c r="H15" s="15"/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72">
        <f aca="true" t="shared" si="1" ref="N15:N37">(E15+F15+G15+H15+I15+J15+K15+L15+M15)</f>
        <v>1</v>
      </c>
      <c r="O15" s="73">
        <v>24</v>
      </c>
      <c r="P15" s="74">
        <v>581.36</v>
      </c>
      <c r="Q15" s="74">
        <f>215.42+219.62</f>
        <v>435.03999999999996</v>
      </c>
      <c r="R15" s="74"/>
      <c r="S15" s="84">
        <f t="shared" si="0"/>
        <v>1016.4</v>
      </c>
      <c r="T15" s="65"/>
      <c r="U15" s="65"/>
      <c r="V15" s="65"/>
    </row>
    <row r="16" spans="2:22" ht="102">
      <c r="B16" s="83" t="s">
        <v>33</v>
      </c>
      <c r="C16" s="57" t="s">
        <v>6</v>
      </c>
      <c r="D16" s="57" t="s">
        <v>132</v>
      </c>
      <c r="E16" s="85">
        <v>1</v>
      </c>
      <c r="F16" s="71">
        <v>0</v>
      </c>
      <c r="G16" s="71"/>
      <c r="H16" s="15"/>
      <c r="I16" s="15">
        <v>0</v>
      </c>
      <c r="J16" s="15"/>
      <c r="K16" s="15"/>
      <c r="L16" s="15"/>
      <c r="M16" s="15"/>
      <c r="N16" s="72">
        <v>1</v>
      </c>
      <c r="O16" s="73">
        <v>40</v>
      </c>
      <c r="P16" s="74">
        <v>581.36</v>
      </c>
      <c r="Q16" s="74">
        <f>415.42+419.62</f>
        <v>835.04</v>
      </c>
      <c r="R16" s="74"/>
      <c r="S16" s="84">
        <f>P16+Q16+R16</f>
        <v>1416.4</v>
      </c>
      <c r="T16" s="65"/>
      <c r="U16" s="65"/>
      <c r="V16" s="65"/>
    </row>
    <row r="17" spans="2:22" ht="51">
      <c r="B17" s="83" t="s">
        <v>33</v>
      </c>
      <c r="C17" s="57" t="s">
        <v>19</v>
      </c>
      <c r="D17" s="57" t="s">
        <v>123</v>
      </c>
      <c r="E17" s="85"/>
      <c r="F17" s="71"/>
      <c r="G17" s="71"/>
      <c r="H17" s="15"/>
      <c r="I17" s="15">
        <v>2</v>
      </c>
      <c r="J17" s="15"/>
      <c r="K17" s="15"/>
      <c r="L17" s="15"/>
      <c r="M17" s="15"/>
      <c r="N17" s="72">
        <v>2</v>
      </c>
      <c r="O17" s="73"/>
      <c r="P17" s="74">
        <f>196.51+294.52</f>
        <v>491.03</v>
      </c>
      <c r="Q17" s="74">
        <f>726.01-P17+240.04</f>
        <v>475.02</v>
      </c>
      <c r="R17" s="74"/>
      <c r="S17" s="84">
        <f t="shared" si="0"/>
        <v>966.05</v>
      </c>
      <c r="T17" s="65"/>
      <c r="U17" s="65"/>
      <c r="V17" s="65"/>
    </row>
    <row r="18" spans="2:22" ht="76.5">
      <c r="B18" s="83" t="s">
        <v>82</v>
      </c>
      <c r="C18" s="57" t="s">
        <v>19</v>
      </c>
      <c r="D18" s="57" t="s">
        <v>134</v>
      </c>
      <c r="E18" s="15"/>
      <c r="F18" s="71" t="s">
        <v>133</v>
      </c>
      <c r="G18" s="71"/>
      <c r="H18" s="15">
        <v>1</v>
      </c>
      <c r="I18" s="15"/>
      <c r="J18" s="15"/>
      <c r="K18" s="15"/>
      <c r="L18" s="15"/>
      <c r="M18" s="15"/>
      <c r="N18" s="72">
        <v>1</v>
      </c>
      <c r="O18" s="73">
        <v>24</v>
      </c>
      <c r="P18" s="74">
        <v>555.04</v>
      </c>
      <c r="Q18" s="74">
        <f>190.42+169.62+169.62+119.62</f>
        <v>649.28</v>
      </c>
      <c r="R18" s="74">
        <v>1890</v>
      </c>
      <c r="S18" s="84">
        <f t="shared" si="0"/>
        <v>3094.3199999999997</v>
      </c>
      <c r="T18" s="65"/>
      <c r="U18" s="65"/>
      <c r="V18" s="65"/>
    </row>
    <row r="19" spans="2:22" ht="51">
      <c r="B19" s="83" t="s">
        <v>64</v>
      </c>
      <c r="C19" s="57" t="s">
        <v>19</v>
      </c>
      <c r="D19" s="57" t="s">
        <v>135</v>
      </c>
      <c r="E19" s="15">
        <v>14</v>
      </c>
      <c r="F19" s="71"/>
      <c r="G19" s="71"/>
      <c r="H19" s="15">
        <v>5</v>
      </c>
      <c r="I19" s="15">
        <v>1</v>
      </c>
      <c r="J19" s="15"/>
      <c r="K19" s="15"/>
      <c r="L19" s="15"/>
      <c r="M19" s="15"/>
      <c r="N19" s="72">
        <f t="shared" si="1"/>
        <v>20</v>
      </c>
      <c r="O19" s="73">
        <v>16</v>
      </c>
      <c r="P19" s="74">
        <f>297.16+296.05+295.53+297.16+285.8+257.7+214.8</f>
        <v>1944.2</v>
      </c>
      <c r="Q19" s="74">
        <v>0</v>
      </c>
      <c r="R19" s="74">
        <v>0</v>
      </c>
      <c r="S19" s="84">
        <f t="shared" si="0"/>
        <v>1944.2</v>
      </c>
      <c r="T19" s="65"/>
      <c r="U19" s="65"/>
      <c r="V19" s="65"/>
    </row>
    <row r="20" spans="2:22" ht="51">
      <c r="B20" s="83" t="s">
        <v>24</v>
      </c>
      <c r="C20" s="57" t="s">
        <v>6</v>
      </c>
      <c r="D20" s="57" t="s">
        <v>136</v>
      </c>
      <c r="E20" s="15"/>
      <c r="F20" s="71">
        <v>2</v>
      </c>
      <c r="G20" s="71"/>
      <c r="H20" s="15"/>
      <c r="I20" s="15"/>
      <c r="J20" s="15"/>
      <c r="K20" s="15"/>
      <c r="L20" s="15"/>
      <c r="M20" s="15"/>
      <c r="N20" s="72">
        <f>SUM(E20:M20)</f>
        <v>2</v>
      </c>
      <c r="O20" s="73">
        <v>24</v>
      </c>
      <c r="P20" s="74">
        <f>371.59+371.59</f>
        <v>743.18</v>
      </c>
      <c r="Q20" s="74">
        <f>(15.42+765.42+15.42+765.42)*2+(19.65+769.62+19.62+769.62)*2</f>
        <v>6280.379999999999</v>
      </c>
      <c r="R20" s="74"/>
      <c r="S20" s="84">
        <f aca="true" t="shared" si="2" ref="S20:S38">P20+Q20+R20</f>
        <v>7023.5599999999995</v>
      </c>
      <c r="T20" s="65"/>
      <c r="U20" s="65"/>
      <c r="V20" s="65"/>
    </row>
    <row r="21" spans="2:22" ht="38.25">
      <c r="B21" s="83" t="s">
        <v>24</v>
      </c>
      <c r="C21" s="57" t="s">
        <v>19</v>
      </c>
      <c r="D21" s="57" t="s">
        <v>124</v>
      </c>
      <c r="E21" s="15"/>
      <c r="F21" s="71"/>
      <c r="G21" s="71"/>
      <c r="H21" s="15">
        <v>0</v>
      </c>
      <c r="I21" s="15">
        <v>1</v>
      </c>
      <c r="J21" s="15"/>
      <c r="K21" s="15"/>
      <c r="L21" s="15"/>
      <c r="M21" s="15"/>
      <c r="N21" s="72">
        <f t="shared" si="1"/>
        <v>1</v>
      </c>
      <c r="O21" s="73">
        <v>24</v>
      </c>
      <c r="P21" s="74">
        <f>492.2+705.11</f>
        <v>1197.31</v>
      </c>
      <c r="Q21" s="74">
        <f>(510.42+318.62)*2</f>
        <v>1658.08</v>
      </c>
      <c r="R21" s="74">
        <f>1495+1495</f>
        <v>2990</v>
      </c>
      <c r="S21" s="84">
        <f t="shared" si="2"/>
        <v>5845.389999999999</v>
      </c>
      <c r="T21" s="65"/>
      <c r="U21" s="65"/>
      <c r="V21" s="65"/>
    </row>
    <row r="22" spans="2:22" ht="38.25">
      <c r="B22" s="83" t="s">
        <v>33</v>
      </c>
      <c r="C22" s="57" t="s">
        <v>19</v>
      </c>
      <c r="D22" s="86" t="s">
        <v>137</v>
      </c>
      <c r="E22" s="15"/>
      <c r="F22" s="71"/>
      <c r="G22" s="71"/>
      <c r="H22" s="15"/>
      <c r="I22" s="15"/>
      <c r="J22" s="15"/>
      <c r="K22" s="15"/>
      <c r="L22" s="15"/>
      <c r="M22" s="15"/>
      <c r="N22" s="72"/>
      <c r="O22" s="65"/>
      <c r="P22" s="87">
        <f>(320.05)*3+(337.88+318.22+320.05+320.05+320.05+337.87+320.05)+42.96+42.96</f>
        <v>3320.2400000000002</v>
      </c>
      <c r="Q22" s="87">
        <v>0</v>
      </c>
      <c r="R22" s="87">
        <v>0</v>
      </c>
      <c r="S22" s="84">
        <f t="shared" si="2"/>
        <v>3320.2400000000002</v>
      </c>
      <c r="T22" s="65"/>
      <c r="U22" s="65"/>
      <c r="V22" s="65"/>
    </row>
    <row r="23" spans="2:22" ht="76.5">
      <c r="B23" s="83" t="s">
        <v>27</v>
      </c>
      <c r="C23" s="57" t="s">
        <v>6</v>
      </c>
      <c r="D23" s="57" t="s">
        <v>138</v>
      </c>
      <c r="E23" s="15">
        <v>0</v>
      </c>
      <c r="F23" s="71"/>
      <c r="G23" s="71"/>
      <c r="H23" s="15">
        <v>3</v>
      </c>
      <c r="I23" s="15">
        <v>0</v>
      </c>
      <c r="J23" s="15"/>
      <c r="K23" s="15"/>
      <c r="L23" s="15"/>
      <c r="M23" s="15"/>
      <c r="N23" s="72">
        <f t="shared" si="1"/>
        <v>3</v>
      </c>
      <c r="O23" s="73">
        <v>16</v>
      </c>
      <c r="P23" s="74">
        <v>355.7</v>
      </c>
      <c r="Q23" s="74">
        <f>115.42*2</f>
        <v>230.84</v>
      </c>
      <c r="R23" s="74">
        <v>0</v>
      </c>
      <c r="S23" s="84">
        <f t="shared" si="2"/>
        <v>586.54</v>
      </c>
      <c r="T23" s="65"/>
      <c r="U23" s="65"/>
      <c r="V23" s="65"/>
    </row>
    <row r="24" spans="2:22" ht="89.25">
      <c r="B24" s="83" t="s">
        <v>33</v>
      </c>
      <c r="C24" s="57" t="s">
        <v>19</v>
      </c>
      <c r="D24" s="57" t="s">
        <v>139</v>
      </c>
      <c r="E24" s="15"/>
      <c r="F24" s="71">
        <v>0</v>
      </c>
      <c r="G24" s="71"/>
      <c r="H24" s="15"/>
      <c r="I24" s="15"/>
      <c r="J24" s="15">
        <v>1</v>
      </c>
      <c r="K24" s="15"/>
      <c r="L24" s="15"/>
      <c r="M24" s="15"/>
      <c r="N24" s="72">
        <f t="shared" si="1"/>
        <v>1</v>
      </c>
      <c r="O24" s="73">
        <v>40</v>
      </c>
      <c r="P24" s="74">
        <v>1043.19</v>
      </c>
      <c r="Q24" s="74">
        <f>690.42+418.62</f>
        <v>1109.04</v>
      </c>
      <c r="R24" s="74">
        <v>0</v>
      </c>
      <c r="S24" s="84">
        <f t="shared" si="2"/>
        <v>2152.23</v>
      </c>
      <c r="T24" s="65"/>
      <c r="U24" s="65"/>
      <c r="V24" s="65"/>
    </row>
    <row r="25" spans="2:22" ht="63.75">
      <c r="B25" s="83" t="s">
        <v>33</v>
      </c>
      <c r="C25" s="57" t="s">
        <v>19</v>
      </c>
      <c r="D25" s="57" t="s">
        <v>140</v>
      </c>
      <c r="E25" s="15"/>
      <c r="F25" s="71"/>
      <c r="G25" s="71"/>
      <c r="H25" s="15"/>
      <c r="I25" s="15"/>
      <c r="J25" s="15">
        <v>1</v>
      </c>
      <c r="K25" s="15"/>
      <c r="L25" s="15"/>
      <c r="M25" s="15"/>
      <c r="N25" s="72">
        <f t="shared" si="1"/>
        <v>1</v>
      </c>
      <c r="O25" s="73">
        <v>16</v>
      </c>
      <c r="P25" s="74">
        <v>621.79</v>
      </c>
      <c r="Q25" s="74">
        <f>690.42+690.42</f>
        <v>1380.84</v>
      </c>
      <c r="R25" s="74">
        <v>0</v>
      </c>
      <c r="S25" s="84">
        <f t="shared" si="2"/>
        <v>2002.6299999999999</v>
      </c>
      <c r="T25" s="65"/>
      <c r="U25" s="65"/>
      <c r="V25" s="65"/>
    </row>
    <row r="26" spans="2:22" ht="76.5">
      <c r="B26" s="83" t="s">
        <v>24</v>
      </c>
      <c r="C26" s="57" t="s">
        <v>19</v>
      </c>
      <c r="D26" s="57" t="s">
        <v>141</v>
      </c>
      <c r="E26" s="15"/>
      <c r="F26" s="71">
        <v>0</v>
      </c>
      <c r="G26" s="71"/>
      <c r="H26" s="15">
        <v>2</v>
      </c>
      <c r="I26" s="15"/>
      <c r="J26" s="15">
        <v>1</v>
      </c>
      <c r="K26" s="15"/>
      <c r="L26" s="15"/>
      <c r="M26" s="15"/>
      <c r="N26" s="72">
        <f t="shared" si="1"/>
        <v>3</v>
      </c>
      <c r="O26" s="73">
        <v>24</v>
      </c>
      <c r="P26" s="74">
        <f>661.66+556.45+465.71</f>
        <v>1683.8200000000002</v>
      </c>
      <c r="Q26" s="74">
        <f>980.42+19.62+984.62+980.42+19.62+854.62+980.42+19.62+984.62</f>
        <v>5823.98</v>
      </c>
      <c r="R26" s="74">
        <f>1890.9*3</f>
        <v>5672.700000000001</v>
      </c>
      <c r="S26" s="84">
        <f t="shared" si="2"/>
        <v>13180.5</v>
      </c>
      <c r="T26" s="65"/>
      <c r="U26" s="65"/>
      <c r="V26" s="65"/>
    </row>
    <row r="27" spans="2:22" ht="38.25">
      <c r="B27" s="83" t="s">
        <v>33</v>
      </c>
      <c r="C27" s="57" t="s">
        <v>19</v>
      </c>
      <c r="D27" s="57" t="s">
        <v>142</v>
      </c>
      <c r="E27" s="15"/>
      <c r="F27" s="71"/>
      <c r="G27" s="71"/>
      <c r="H27" s="15"/>
      <c r="I27" s="15">
        <v>1</v>
      </c>
      <c r="J27" s="15" t="s">
        <v>133</v>
      </c>
      <c r="K27" s="15" t="s">
        <v>133</v>
      </c>
      <c r="L27" s="15" t="s">
        <v>133</v>
      </c>
      <c r="M27" s="15"/>
      <c r="N27" s="72">
        <v>1</v>
      </c>
      <c r="O27" s="73">
        <v>20</v>
      </c>
      <c r="P27" s="74">
        <f>398.86+435.9</f>
        <v>834.76</v>
      </c>
      <c r="Q27" s="74">
        <f>323.42+269.62+323.42+269.92</f>
        <v>1186.38</v>
      </c>
      <c r="R27" s="74">
        <v>0</v>
      </c>
      <c r="S27" s="84">
        <f t="shared" si="2"/>
        <v>2021.14</v>
      </c>
      <c r="T27" s="65"/>
      <c r="U27" s="65"/>
      <c r="V27" s="65"/>
    </row>
    <row r="28" spans="2:22" ht="102">
      <c r="B28" s="83" t="s">
        <v>31</v>
      </c>
      <c r="C28" s="57" t="s">
        <v>17</v>
      </c>
      <c r="D28" s="57" t="s">
        <v>143</v>
      </c>
      <c r="E28" s="15">
        <v>1</v>
      </c>
      <c r="F28" s="71">
        <v>0</v>
      </c>
      <c r="G28" s="71"/>
      <c r="H28" s="15">
        <v>2</v>
      </c>
      <c r="I28" s="15">
        <v>0</v>
      </c>
      <c r="J28" s="15"/>
      <c r="K28" s="15"/>
      <c r="L28" s="15"/>
      <c r="M28" s="15"/>
      <c r="N28" s="72">
        <f t="shared" si="1"/>
        <v>3</v>
      </c>
      <c r="O28" s="73">
        <v>0</v>
      </c>
      <c r="P28" s="74">
        <f>216.86+215.1+218.43</f>
        <v>650.3900000000001</v>
      </c>
      <c r="Q28" s="74">
        <f>(265.42+298.62)*3</f>
        <v>1692.12</v>
      </c>
      <c r="R28" s="74">
        <v>0</v>
      </c>
      <c r="S28" s="84">
        <f t="shared" si="2"/>
        <v>2342.51</v>
      </c>
      <c r="T28" s="65"/>
      <c r="U28" s="65"/>
      <c r="V28" s="65"/>
    </row>
    <row r="29" spans="2:22" ht="63.75">
      <c r="B29" s="83" t="s">
        <v>39</v>
      </c>
      <c r="C29" s="57" t="s">
        <v>6</v>
      </c>
      <c r="D29" s="57" t="s">
        <v>144</v>
      </c>
      <c r="E29" s="15"/>
      <c r="F29" s="71"/>
      <c r="G29" s="71"/>
      <c r="H29" s="15"/>
      <c r="I29" s="15">
        <v>1</v>
      </c>
      <c r="J29" s="15">
        <v>0</v>
      </c>
      <c r="K29" s="15"/>
      <c r="L29" s="15"/>
      <c r="M29" s="15"/>
      <c r="N29" s="72">
        <f t="shared" si="1"/>
        <v>1</v>
      </c>
      <c r="O29" s="73">
        <v>24</v>
      </c>
      <c r="P29" s="74">
        <v>405.84</v>
      </c>
      <c r="Q29" s="74">
        <f>585.42*2</f>
        <v>1170.84</v>
      </c>
      <c r="R29" s="74">
        <v>0</v>
      </c>
      <c r="S29" s="84">
        <f t="shared" si="2"/>
        <v>1576.6799999999998</v>
      </c>
      <c r="T29" s="65"/>
      <c r="U29" s="65"/>
      <c r="V29" s="65"/>
    </row>
    <row r="30" spans="2:22" ht="63.75">
      <c r="B30" s="83" t="s">
        <v>25</v>
      </c>
      <c r="C30" s="57" t="s">
        <v>19</v>
      </c>
      <c r="D30" s="57" t="s">
        <v>145</v>
      </c>
      <c r="E30" s="15"/>
      <c r="F30" s="71"/>
      <c r="G30" s="71"/>
      <c r="H30" s="15">
        <v>1</v>
      </c>
      <c r="I30" s="15"/>
      <c r="J30" s="15">
        <v>1</v>
      </c>
      <c r="K30" s="15"/>
      <c r="L30" s="15">
        <v>0</v>
      </c>
      <c r="M30" s="15"/>
      <c r="N30" s="72">
        <f t="shared" si="1"/>
        <v>2</v>
      </c>
      <c r="O30" s="73">
        <v>24</v>
      </c>
      <c r="P30" s="74">
        <f>698.78+591.76</f>
        <v>1290.54</v>
      </c>
      <c r="Q30" s="74">
        <f>(184.42+188.62)*2</f>
        <v>746.0799999999999</v>
      </c>
      <c r="R30" s="74">
        <v>0</v>
      </c>
      <c r="S30" s="84">
        <f t="shared" si="2"/>
        <v>2036.62</v>
      </c>
      <c r="T30" s="65"/>
      <c r="U30" s="65"/>
      <c r="V30" s="65"/>
    </row>
    <row r="31" spans="2:22" ht="63.75">
      <c r="B31" s="83" t="s">
        <v>49</v>
      </c>
      <c r="C31" s="57" t="s">
        <v>19</v>
      </c>
      <c r="D31" s="57" t="s">
        <v>146</v>
      </c>
      <c r="E31" s="15">
        <v>0</v>
      </c>
      <c r="F31" s="71"/>
      <c r="G31" s="71"/>
      <c r="H31" s="15">
        <v>3</v>
      </c>
      <c r="I31" s="15">
        <v>0</v>
      </c>
      <c r="J31" s="15"/>
      <c r="K31" s="15"/>
      <c r="L31" s="15"/>
      <c r="M31" s="15"/>
      <c r="N31" s="72">
        <f>(E31+F31+G31+H31+I31+J31+K31+L31+M31)</f>
        <v>3</v>
      </c>
      <c r="O31" s="73">
        <v>44</v>
      </c>
      <c r="P31" s="74">
        <f>797.26+797.96+797.26</f>
        <v>2392.48</v>
      </c>
      <c r="Q31" s="74">
        <f>(404.42+368.62)*3</f>
        <v>2319.12</v>
      </c>
      <c r="R31" s="74">
        <f>75*3</f>
        <v>225</v>
      </c>
      <c r="S31" s="84">
        <f t="shared" si="2"/>
        <v>4936.6</v>
      </c>
      <c r="T31" s="65"/>
      <c r="U31" s="65"/>
      <c r="V31" s="65"/>
    </row>
    <row r="32" spans="2:22" ht="25.5">
      <c r="B32" s="83" t="s">
        <v>33</v>
      </c>
      <c r="C32" s="57" t="s">
        <v>40</v>
      </c>
      <c r="D32" s="57" t="s">
        <v>147</v>
      </c>
      <c r="E32" s="15"/>
      <c r="F32" s="71"/>
      <c r="G32" s="71"/>
      <c r="H32" s="15"/>
      <c r="I32" s="15"/>
      <c r="J32" s="15" t="s">
        <v>133</v>
      </c>
      <c r="K32" s="15"/>
      <c r="L32" s="15"/>
      <c r="M32" s="15"/>
      <c r="N32" s="72" t="s">
        <v>133</v>
      </c>
      <c r="O32" s="73">
        <v>8</v>
      </c>
      <c r="P32" s="74">
        <f>301.24+312.68</f>
        <v>613.9200000000001</v>
      </c>
      <c r="Q32" s="74">
        <v>0</v>
      </c>
      <c r="R32" s="74">
        <v>0</v>
      </c>
      <c r="S32" s="84">
        <f t="shared" si="2"/>
        <v>613.9200000000001</v>
      </c>
      <c r="T32" s="65"/>
      <c r="U32" s="65"/>
      <c r="V32" s="65"/>
    </row>
    <row r="33" spans="2:22" ht="51">
      <c r="B33" s="83" t="s">
        <v>48</v>
      </c>
      <c r="C33" s="57" t="s">
        <v>40</v>
      </c>
      <c r="D33" s="57" t="s">
        <v>148</v>
      </c>
      <c r="E33" s="15">
        <v>1</v>
      </c>
      <c r="F33" s="71">
        <v>0</v>
      </c>
      <c r="G33" s="71"/>
      <c r="H33" s="15"/>
      <c r="I33" s="15"/>
      <c r="J33" s="15"/>
      <c r="K33" s="15"/>
      <c r="L33" s="15"/>
      <c r="M33" s="15"/>
      <c r="N33" s="72">
        <f t="shared" si="1"/>
        <v>1</v>
      </c>
      <c r="O33" s="73">
        <v>24</v>
      </c>
      <c r="P33" s="74">
        <v>535.04</v>
      </c>
      <c r="Q33" s="74">
        <f>1075.42+128.62</f>
        <v>1204.04</v>
      </c>
      <c r="R33" s="74">
        <v>0</v>
      </c>
      <c r="S33" s="84">
        <f t="shared" si="2"/>
        <v>1739.08</v>
      </c>
      <c r="T33" s="65"/>
      <c r="U33" s="65"/>
      <c r="V33" s="65"/>
    </row>
    <row r="34" spans="2:22" ht="25.5">
      <c r="B34" s="83" t="s">
        <v>48</v>
      </c>
      <c r="C34" s="57" t="s">
        <v>40</v>
      </c>
      <c r="D34" s="57" t="s">
        <v>149</v>
      </c>
      <c r="E34" s="15"/>
      <c r="F34" s="71">
        <v>1</v>
      </c>
      <c r="G34" s="71"/>
      <c r="H34" s="15"/>
      <c r="I34" s="15"/>
      <c r="J34" s="15"/>
      <c r="K34" s="15"/>
      <c r="L34" s="15"/>
      <c r="M34" s="15"/>
      <c r="N34" s="72">
        <f t="shared" si="1"/>
        <v>1</v>
      </c>
      <c r="O34" s="73">
        <v>8</v>
      </c>
      <c r="P34" s="74">
        <v>587.41</v>
      </c>
      <c r="Q34" s="74">
        <f>265.42+594.62</f>
        <v>860.04</v>
      </c>
      <c r="R34" s="74">
        <v>0</v>
      </c>
      <c r="S34" s="84">
        <f t="shared" si="2"/>
        <v>1447.4499999999998</v>
      </c>
      <c r="T34" s="65"/>
      <c r="U34" s="65"/>
      <c r="V34" s="65"/>
    </row>
    <row r="35" spans="2:22" ht="76.5">
      <c r="B35" s="83" t="s">
        <v>39</v>
      </c>
      <c r="C35" s="57" t="s">
        <v>6</v>
      </c>
      <c r="D35" s="57" t="s">
        <v>150</v>
      </c>
      <c r="E35" s="15">
        <v>1</v>
      </c>
      <c r="F35" s="71"/>
      <c r="G35" s="71"/>
      <c r="H35" s="15">
        <v>1</v>
      </c>
      <c r="I35" s="15">
        <v>0</v>
      </c>
      <c r="J35" s="15"/>
      <c r="K35" s="15"/>
      <c r="L35" s="15"/>
      <c r="M35" s="15"/>
      <c r="N35" s="72">
        <f t="shared" si="1"/>
        <v>2</v>
      </c>
      <c r="O35" s="73">
        <v>40</v>
      </c>
      <c r="P35" s="74">
        <f>758.74+782.28</f>
        <v>1541.02</v>
      </c>
      <c r="Q35" s="74">
        <f>(255.42+188.62)*2</f>
        <v>888.0799999999999</v>
      </c>
      <c r="R35" s="74">
        <v>0</v>
      </c>
      <c r="S35" s="84">
        <f t="shared" si="2"/>
        <v>2429.1</v>
      </c>
      <c r="T35" s="65"/>
      <c r="U35" s="65"/>
      <c r="V35" s="65"/>
    </row>
    <row r="36" spans="2:22" ht="63.75">
      <c r="B36" s="83" t="s">
        <v>24</v>
      </c>
      <c r="C36" s="57" t="s">
        <v>6</v>
      </c>
      <c r="D36" s="57" t="s">
        <v>151</v>
      </c>
      <c r="E36" s="15">
        <v>0</v>
      </c>
      <c r="F36" s="71"/>
      <c r="G36" s="71"/>
      <c r="H36" s="15">
        <v>1</v>
      </c>
      <c r="I36" s="15"/>
      <c r="J36" s="15"/>
      <c r="K36" s="15"/>
      <c r="L36" s="15"/>
      <c r="M36" s="15"/>
      <c r="N36" s="72">
        <f t="shared" si="1"/>
        <v>1</v>
      </c>
      <c r="O36" s="73">
        <v>32</v>
      </c>
      <c r="P36" s="74">
        <v>717.86</v>
      </c>
      <c r="Q36" s="74">
        <v>0</v>
      </c>
      <c r="R36" s="74">
        <v>1995</v>
      </c>
      <c r="S36" s="84">
        <f t="shared" si="2"/>
        <v>2712.86</v>
      </c>
      <c r="T36" s="65"/>
      <c r="U36" s="65"/>
      <c r="V36" s="65"/>
    </row>
    <row r="37" spans="2:22" ht="25.5">
      <c r="B37" s="83" t="s">
        <v>24</v>
      </c>
      <c r="C37" s="57" t="s">
        <v>6</v>
      </c>
      <c r="D37" s="57" t="s">
        <v>152</v>
      </c>
      <c r="E37" s="15">
        <v>0</v>
      </c>
      <c r="F37" s="71">
        <v>0</v>
      </c>
      <c r="G37" s="71"/>
      <c r="H37" s="15">
        <v>2</v>
      </c>
      <c r="I37" s="15"/>
      <c r="J37" s="15">
        <v>0</v>
      </c>
      <c r="K37" s="15"/>
      <c r="L37" s="15"/>
      <c r="M37" s="15"/>
      <c r="N37" s="72">
        <f t="shared" si="1"/>
        <v>2</v>
      </c>
      <c r="O37" s="73">
        <v>32</v>
      </c>
      <c r="P37" s="74">
        <f>694.86+690.79</f>
        <v>1385.65</v>
      </c>
      <c r="Q37" s="74">
        <v>0</v>
      </c>
      <c r="R37" s="74">
        <v>0</v>
      </c>
      <c r="S37" s="84">
        <f t="shared" si="2"/>
        <v>1385.65</v>
      </c>
      <c r="T37" s="65"/>
      <c r="U37" s="65"/>
      <c r="V37" s="65"/>
    </row>
    <row r="38" spans="2:22" ht="38.25">
      <c r="B38" s="69" t="s">
        <v>30</v>
      </c>
      <c r="C38" s="70" t="s">
        <v>153</v>
      </c>
      <c r="D38" s="70" t="s">
        <v>30</v>
      </c>
      <c r="E38" s="15"/>
      <c r="F38" s="71"/>
      <c r="G38" s="71"/>
      <c r="H38" s="15">
        <v>8</v>
      </c>
      <c r="I38" s="15"/>
      <c r="J38" s="15"/>
      <c r="K38" s="15"/>
      <c r="L38" s="15"/>
      <c r="M38" s="15"/>
      <c r="N38" s="72">
        <v>8</v>
      </c>
      <c r="O38" s="73">
        <v>360</v>
      </c>
      <c r="P38" s="74">
        <v>0</v>
      </c>
      <c r="Q38" s="74">
        <v>0</v>
      </c>
      <c r="R38" s="74">
        <v>14872</v>
      </c>
      <c r="S38" s="84">
        <f t="shared" si="2"/>
        <v>14872</v>
      </c>
      <c r="T38" s="65"/>
      <c r="U38" s="65"/>
      <c r="V38" s="65"/>
    </row>
    <row r="39" spans="2:22" ht="63.75">
      <c r="B39" s="75" t="s">
        <v>26</v>
      </c>
      <c r="C39" s="75" t="s">
        <v>19</v>
      </c>
      <c r="D39" s="75" t="s">
        <v>154</v>
      </c>
      <c r="E39" s="76"/>
      <c r="F39" s="76"/>
      <c r="G39" s="76"/>
      <c r="H39" s="77"/>
      <c r="I39" s="77"/>
      <c r="J39" s="77">
        <v>1</v>
      </c>
      <c r="K39" s="77"/>
      <c r="L39" s="77"/>
      <c r="M39" s="77"/>
      <c r="N39" s="78">
        <v>1</v>
      </c>
      <c r="O39" s="79">
        <v>24</v>
      </c>
      <c r="P39" s="80">
        <v>841.18</v>
      </c>
      <c r="Q39" s="80">
        <f>844.62+840.42</f>
        <v>1685.04</v>
      </c>
      <c r="R39" s="80">
        <v>0</v>
      </c>
      <c r="S39" s="88">
        <f aca="true" t="shared" si="3" ref="S39:S71">P39+Q39+R39</f>
        <v>2526.22</v>
      </c>
      <c r="T39" s="65"/>
      <c r="U39" s="65"/>
      <c r="V39" s="65"/>
    </row>
    <row r="40" spans="2:22" ht="38.25">
      <c r="B40" s="75" t="s">
        <v>33</v>
      </c>
      <c r="C40" s="75" t="s">
        <v>40</v>
      </c>
      <c r="D40" s="75" t="s">
        <v>155</v>
      </c>
      <c r="E40" s="76">
        <v>1</v>
      </c>
      <c r="F40" s="76"/>
      <c r="G40" s="76"/>
      <c r="H40" s="77"/>
      <c r="I40" s="77"/>
      <c r="J40" s="77"/>
      <c r="K40" s="77"/>
      <c r="L40" s="77"/>
      <c r="M40" s="77"/>
      <c r="N40" s="78">
        <v>1</v>
      </c>
      <c r="O40" s="79">
        <v>24</v>
      </c>
      <c r="P40" s="80">
        <v>796.39</v>
      </c>
      <c r="Q40" s="80">
        <f>344.42+318.62</f>
        <v>663.04</v>
      </c>
      <c r="R40" s="80">
        <v>0</v>
      </c>
      <c r="S40" s="88">
        <f t="shared" si="3"/>
        <v>1459.4299999999998</v>
      </c>
      <c r="T40" s="65"/>
      <c r="U40" s="65"/>
      <c r="V40" s="65"/>
    </row>
    <row r="41" spans="2:22" ht="38.25">
      <c r="B41" s="75" t="s">
        <v>26</v>
      </c>
      <c r="C41" s="75" t="s">
        <v>17</v>
      </c>
      <c r="D41" s="75" t="s">
        <v>156</v>
      </c>
      <c r="E41" s="76"/>
      <c r="F41" s="76"/>
      <c r="G41" s="76"/>
      <c r="H41" s="77"/>
      <c r="I41" s="77"/>
      <c r="J41" s="77">
        <v>1</v>
      </c>
      <c r="K41" s="77"/>
      <c r="L41" s="77"/>
      <c r="M41" s="77"/>
      <c r="N41" s="78">
        <v>1</v>
      </c>
      <c r="O41" s="79"/>
      <c r="P41" s="80">
        <v>936.01</v>
      </c>
      <c r="Q41" s="80">
        <v>0</v>
      </c>
      <c r="R41" s="80">
        <v>0</v>
      </c>
      <c r="S41" s="88">
        <f t="shared" si="3"/>
        <v>936.01</v>
      </c>
      <c r="T41" s="65"/>
      <c r="U41" s="65"/>
      <c r="V41" s="65"/>
    </row>
    <row r="42" spans="2:22" ht="38.25">
      <c r="B42" s="75" t="s">
        <v>39</v>
      </c>
      <c r="C42" s="75" t="s">
        <v>19</v>
      </c>
      <c r="D42" s="75" t="s">
        <v>243</v>
      </c>
      <c r="E42" s="76"/>
      <c r="F42" s="76"/>
      <c r="G42" s="76"/>
      <c r="H42" s="77"/>
      <c r="I42" s="77">
        <v>1</v>
      </c>
      <c r="J42" s="77"/>
      <c r="K42" s="77"/>
      <c r="L42" s="77"/>
      <c r="M42" s="77"/>
      <c r="N42" s="15">
        <v>1</v>
      </c>
      <c r="O42" s="79">
        <v>26</v>
      </c>
      <c r="P42" s="80">
        <v>795.81</v>
      </c>
      <c r="Q42" s="80">
        <f>344.42+128.62+142.62</f>
        <v>615.6600000000001</v>
      </c>
      <c r="R42" s="80">
        <v>180</v>
      </c>
      <c r="S42" s="88">
        <f t="shared" si="3"/>
        <v>1591.47</v>
      </c>
      <c r="T42" s="65"/>
      <c r="U42" s="65"/>
      <c r="V42" s="65"/>
    </row>
    <row r="43" spans="2:22" ht="38.25">
      <c r="B43" s="75" t="s">
        <v>33</v>
      </c>
      <c r="C43" s="75" t="s">
        <v>6</v>
      </c>
      <c r="D43" s="75" t="s">
        <v>157</v>
      </c>
      <c r="E43" s="76">
        <v>1</v>
      </c>
      <c r="F43" s="76">
        <v>2</v>
      </c>
      <c r="G43" s="76"/>
      <c r="H43" s="77">
        <v>1</v>
      </c>
      <c r="I43" s="77"/>
      <c r="J43" s="77"/>
      <c r="K43" s="77"/>
      <c r="L43" s="77"/>
      <c r="M43" s="77"/>
      <c r="N43" s="15">
        <v>4</v>
      </c>
      <c r="O43" s="79">
        <v>16</v>
      </c>
      <c r="P43" s="80">
        <f>211.69+220.48+330.22+568.93</f>
        <v>1331.32</v>
      </c>
      <c r="Q43" s="80">
        <v>0</v>
      </c>
      <c r="R43" s="80">
        <v>0</v>
      </c>
      <c r="S43" s="88">
        <f t="shared" si="3"/>
        <v>1331.32</v>
      </c>
      <c r="T43" s="65"/>
      <c r="U43" s="65"/>
      <c r="V43" s="65"/>
    </row>
    <row r="44" spans="2:22" ht="51">
      <c r="B44" s="75" t="s">
        <v>33</v>
      </c>
      <c r="C44" s="75" t="s">
        <v>19</v>
      </c>
      <c r="D44" s="75" t="s">
        <v>158</v>
      </c>
      <c r="E44" s="76"/>
      <c r="F44" s="76"/>
      <c r="G44" s="76"/>
      <c r="H44" s="77">
        <v>2</v>
      </c>
      <c r="I44" s="77"/>
      <c r="J44" s="77"/>
      <c r="K44" s="77"/>
      <c r="L44" s="77"/>
      <c r="M44" s="77"/>
      <c r="N44" s="15">
        <v>2</v>
      </c>
      <c r="O44" s="79">
        <v>20</v>
      </c>
      <c r="P44" s="80">
        <f>463.86+309.24+360.78</f>
        <v>1133.88</v>
      </c>
      <c r="Q44" s="80">
        <f>344.42*2</f>
        <v>688.84</v>
      </c>
      <c r="R44" s="80">
        <v>0</v>
      </c>
      <c r="S44" s="88">
        <f t="shared" si="3"/>
        <v>1822.7200000000003</v>
      </c>
      <c r="T44" s="65"/>
      <c r="U44" s="65"/>
      <c r="V44" s="65"/>
    </row>
    <row r="45" spans="2:22" ht="51">
      <c r="B45" s="75" t="s">
        <v>49</v>
      </c>
      <c r="C45" s="75" t="s">
        <v>19</v>
      </c>
      <c r="D45" s="75" t="s">
        <v>159</v>
      </c>
      <c r="E45" s="76"/>
      <c r="F45" s="76"/>
      <c r="G45" s="76"/>
      <c r="H45" s="77">
        <v>1</v>
      </c>
      <c r="I45" s="77">
        <v>1</v>
      </c>
      <c r="J45" s="77"/>
      <c r="K45" s="77"/>
      <c r="L45" s="77"/>
      <c r="M45" s="77"/>
      <c r="N45" s="15">
        <v>2</v>
      </c>
      <c r="O45" s="79">
        <v>24</v>
      </c>
      <c r="P45" s="80">
        <f>587.41+685.98</f>
        <v>1273.3899999999999</v>
      </c>
      <c r="Q45" s="80">
        <f>485.42+489.62+485.42+489.62</f>
        <v>1950.08</v>
      </c>
      <c r="R45" s="80">
        <v>0</v>
      </c>
      <c r="S45" s="88">
        <f t="shared" si="3"/>
        <v>3223.47</v>
      </c>
      <c r="T45" s="65"/>
      <c r="U45" s="65"/>
      <c r="V45" s="65"/>
    </row>
    <row r="46" spans="2:22" ht="38.25">
      <c r="B46" s="75" t="s">
        <v>33</v>
      </c>
      <c r="C46" s="75" t="s">
        <v>19</v>
      </c>
      <c r="D46" s="75" t="s">
        <v>160</v>
      </c>
      <c r="E46" s="76"/>
      <c r="F46" s="76"/>
      <c r="G46" s="76"/>
      <c r="H46" s="77">
        <v>1</v>
      </c>
      <c r="I46" s="77"/>
      <c r="J46" s="77"/>
      <c r="K46" s="77"/>
      <c r="L46" s="77"/>
      <c r="M46" s="77"/>
      <c r="N46" s="15">
        <v>1</v>
      </c>
      <c r="O46" s="79">
        <v>12</v>
      </c>
      <c r="P46" s="80">
        <v>567.21</v>
      </c>
      <c r="Q46" s="80">
        <v>405.04</v>
      </c>
      <c r="R46" s="80">
        <v>300</v>
      </c>
      <c r="S46" s="88">
        <f t="shared" si="3"/>
        <v>1272.25</v>
      </c>
      <c r="T46" s="65"/>
      <c r="U46" s="65"/>
      <c r="V46" s="65"/>
    </row>
    <row r="47" spans="2:22" ht="25.5">
      <c r="B47" s="75" t="s">
        <v>33</v>
      </c>
      <c r="C47" s="75" t="s">
        <v>17</v>
      </c>
      <c r="D47" s="75" t="s">
        <v>161</v>
      </c>
      <c r="E47" s="76">
        <v>3</v>
      </c>
      <c r="F47" s="76"/>
      <c r="G47" s="76"/>
      <c r="H47" s="77"/>
      <c r="I47" s="77"/>
      <c r="J47" s="77"/>
      <c r="K47" s="77"/>
      <c r="L47" s="77"/>
      <c r="M47" s="77"/>
      <c r="N47" s="15">
        <v>3</v>
      </c>
      <c r="O47" s="79">
        <v>8</v>
      </c>
      <c r="P47" s="80">
        <f>134.36+132.39+132.52</f>
        <v>399.27</v>
      </c>
      <c r="Q47" s="80">
        <v>0</v>
      </c>
      <c r="R47" s="80">
        <v>0</v>
      </c>
      <c r="S47" s="88">
        <f t="shared" si="3"/>
        <v>399.27</v>
      </c>
      <c r="T47" s="65"/>
      <c r="U47" s="65"/>
      <c r="V47" s="65"/>
    </row>
    <row r="48" spans="2:22" ht="63.75">
      <c r="B48" s="75" t="s">
        <v>33</v>
      </c>
      <c r="C48" s="75" t="s">
        <v>18</v>
      </c>
      <c r="D48" s="75" t="s">
        <v>162</v>
      </c>
      <c r="E48" s="76">
        <v>1</v>
      </c>
      <c r="F48" s="76"/>
      <c r="G48" s="76"/>
      <c r="H48" s="77"/>
      <c r="I48" s="77"/>
      <c r="J48" s="77"/>
      <c r="K48" s="77"/>
      <c r="L48" s="77"/>
      <c r="M48" s="77"/>
      <c r="N48" s="15">
        <v>1</v>
      </c>
      <c r="O48" s="79">
        <v>40</v>
      </c>
      <c r="P48" s="80">
        <v>927.16</v>
      </c>
      <c r="Q48" s="80">
        <f>344.42+318.62</f>
        <v>663.04</v>
      </c>
      <c r="R48" s="80">
        <v>0</v>
      </c>
      <c r="S48" s="88">
        <f t="shared" si="3"/>
        <v>1590.1999999999998</v>
      </c>
      <c r="T48" s="65"/>
      <c r="U48" s="65"/>
      <c r="V48" s="65"/>
    </row>
    <row r="49" spans="2:22" ht="38.25">
      <c r="B49" s="75" t="s">
        <v>33</v>
      </c>
      <c r="C49" s="75" t="s">
        <v>19</v>
      </c>
      <c r="D49" s="75" t="s">
        <v>163</v>
      </c>
      <c r="E49" s="76">
        <v>1</v>
      </c>
      <c r="F49" s="76"/>
      <c r="G49" s="76"/>
      <c r="H49" s="77">
        <v>1</v>
      </c>
      <c r="I49" s="77"/>
      <c r="J49" s="77"/>
      <c r="K49" s="77"/>
      <c r="L49" s="77"/>
      <c r="M49" s="77"/>
      <c r="N49" s="15">
        <v>2</v>
      </c>
      <c r="O49" s="79">
        <v>24</v>
      </c>
      <c r="P49" s="80">
        <f>342.62+327.44</f>
        <v>670.06</v>
      </c>
      <c r="Q49" s="80">
        <v>0</v>
      </c>
      <c r="R49" s="80">
        <v>0</v>
      </c>
      <c r="S49" s="88">
        <f t="shared" si="3"/>
        <v>670.06</v>
      </c>
      <c r="T49" s="65"/>
      <c r="U49" s="65"/>
      <c r="V49" s="65"/>
    </row>
    <row r="50" spans="2:22" ht="76.5">
      <c r="B50" s="75" t="s">
        <v>33</v>
      </c>
      <c r="C50" s="75" t="s">
        <v>19</v>
      </c>
      <c r="D50" s="75" t="s">
        <v>164</v>
      </c>
      <c r="E50" s="76"/>
      <c r="F50" s="76"/>
      <c r="G50" s="76"/>
      <c r="H50" s="77"/>
      <c r="I50" s="77"/>
      <c r="J50" s="77">
        <v>1</v>
      </c>
      <c r="K50" s="77"/>
      <c r="L50" s="77"/>
      <c r="M50" s="77"/>
      <c r="N50" s="15">
        <v>1</v>
      </c>
      <c r="O50" s="79">
        <v>24</v>
      </c>
      <c r="P50" s="80">
        <v>524.19</v>
      </c>
      <c r="Q50" s="80">
        <f>694.62</f>
        <v>694.62</v>
      </c>
      <c r="R50" s="80">
        <v>0</v>
      </c>
      <c r="S50" s="88">
        <f t="shared" si="3"/>
        <v>1218.81</v>
      </c>
      <c r="T50" s="65"/>
      <c r="U50" s="65"/>
      <c r="V50" s="65"/>
    </row>
    <row r="51" spans="2:22" ht="51">
      <c r="B51" s="75" t="s">
        <v>33</v>
      </c>
      <c r="C51" s="75" t="s">
        <v>19</v>
      </c>
      <c r="D51" s="75" t="s">
        <v>165</v>
      </c>
      <c r="E51" s="76"/>
      <c r="F51" s="76"/>
      <c r="G51" s="76"/>
      <c r="H51" s="77">
        <v>1</v>
      </c>
      <c r="I51" s="77"/>
      <c r="J51" s="77"/>
      <c r="K51" s="77"/>
      <c r="L51" s="77"/>
      <c r="M51" s="77"/>
      <c r="N51" s="15">
        <v>1</v>
      </c>
      <c r="O51" s="79">
        <v>24</v>
      </c>
      <c r="P51" s="80">
        <v>977.06</v>
      </c>
      <c r="Q51" s="80">
        <f>168.42+78.62+54.42+142.62</f>
        <v>444.08</v>
      </c>
      <c r="R51" s="80">
        <v>350</v>
      </c>
      <c r="S51" s="88">
        <f t="shared" si="3"/>
        <v>1771.1399999999999</v>
      </c>
      <c r="T51" s="65"/>
      <c r="U51" s="65"/>
      <c r="V51" s="65"/>
    </row>
    <row r="52" spans="2:22" ht="63.75">
      <c r="B52" s="75" t="s">
        <v>33</v>
      </c>
      <c r="C52" s="75" t="s">
        <v>19</v>
      </c>
      <c r="D52" s="75" t="s">
        <v>167</v>
      </c>
      <c r="E52" s="76">
        <v>1</v>
      </c>
      <c r="F52" s="76"/>
      <c r="G52" s="76"/>
      <c r="H52" s="77"/>
      <c r="I52" s="77"/>
      <c r="J52" s="77"/>
      <c r="K52" s="77"/>
      <c r="L52" s="77"/>
      <c r="M52" s="77"/>
      <c r="N52" s="15">
        <v>1</v>
      </c>
      <c r="O52" s="79">
        <v>30</v>
      </c>
      <c r="P52" s="80">
        <v>587.41</v>
      </c>
      <c r="Q52" s="80">
        <f>144.42+228.62</f>
        <v>373.03999999999996</v>
      </c>
      <c r="R52" s="80">
        <v>300</v>
      </c>
      <c r="S52" s="88">
        <f t="shared" si="3"/>
        <v>1260.4499999999998</v>
      </c>
      <c r="T52" s="65"/>
      <c r="U52" s="65"/>
      <c r="V52" s="65"/>
    </row>
    <row r="53" spans="2:22" ht="38.25">
      <c r="B53" s="75" t="s">
        <v>33</v>
      </c>
      <c r="C53" s="75" t="s">
        <v>17</v>
      </c>
      <c r="D53" s="75" t="s">
        <v>168</v>
      </c>
      <c r="E53" s="76">
        <v>3</v>
      </c>
      <c r="F53" s="76"/>
      <c r="G53" s="76"/>
      <c r="H53" s="77">
        <v>1</v>
      </c>
      <c r="I53" s="77"/>
      <c r="J53" s="77"/>
      <c r="K53" s="77"/>
      <c r="L53" s="77"/>
      <c r="M53" s="77"/>
      <c r="N53" s="15">
        <v>4</v>
      </c>
      <c r="O53" s="79">
        <v>8</v>
      </c>
      <c r="P53" s="80">
        <f>134.15+132.92+132.52+135.55+113.61</f>
        <v>648.7500000000001</v>
      </c>
      <c r="Q53" s="80"/>
      <c r="R53" s="80">
        <v>0</v>
      </c>
      <c r="S53" s="88">
        <f t="shared" si="3"/>
        <v>648.7500000000001</v>
      </c>
      <c r="T53" s="65"/>
      <c r="U53" s="65"/>
      <c r="V53" s="65"/>
    </row>
    <row r="54" spans="2:22" ht="51">
      <c r="B54" s="75" t="s">
        <v>24</v>
      </c>
      <c r="C54" s="75" t="s">
        <v>6</v>
      </c>
      <c r="D54" s="75" t="s">
        <v>169</v>
      </c>
      <c r="E54" s="76">
        <v>1</v>
      </c>
      <c r="F54" s="76"/>
      <c r="G54" s="76"/>
      <c r="H54" s="77">
        <v>2</v>
      </c>
      <c r="I54" s="77"/>
      <c r="J54" s="77"/>
      <c r="K54" s="77"/>
      <c r="L54" s="77"/>
      <c r="M54" s="77"/>
      <c r="N54" s="15">
        <v>3</v>
      </c>
      <c r="O54" s="79">
        <v>16</v>
      </c>
      <c r="P54" s="80">
        <f>623.27+619.2+610.2</f>
        <v>1852.67</v>
      </c>
      <c r="Q54" s="80">
        <f>Q53</f>
        <v>0</v>
      </c>
      <c r="R54" s="80">
        <v>0</v>
      </c>
      <c r="S54" s="88">
        <f t="shared" si="3"/>
        <v>1852.67</v>
      </c>
      <c r="T54" s="65"/>
      <c r="U54" s="65"/>
      <c r="V54" s="65"/>
    </row>
    <row r="55" spans="2:22" ht="63.75">
      <c r="B55" s="75" t="s">
        <v>33</v>
      </c>
      <c r="C55" s="75" t="s">
        <v>19</v>
      </c>
      <c r="D55" s="75" t="s">
        <v>170</v>
      </c>
      <c r="E55" s="76">
        <v>1</v>
      </c>
      <c r="F55" s="76"/>
      <c r="G55" s="76"/>
      <c r="H55" s="77" t="s">
        <v>133</v>
      </c>
      <c r="I55" s="77"/>
      <c r="J55" s="77"/>
      <c r="K55" s="77"/>
      <c r="L55" s="77"/>
      <c r="M55" s="77"/>
      <c r="N55" s="15">
        <v>1</v>
      </c>
      <c r="O55" s="79">
        <v>24</v>
      </c>
      <c r="P55" s="80">
        <v>693.67</v>
      </c>
      <c r="Q55" s="80">
        <f>725.42+578.62</f>
        <v>1304.04</v>
      </c>
      <c r="R55" s="80">
        <v>0</v>
      </c>
      <c r="S55" s="88">
        <f t="shared" si="3"/>
        <v>1997.71</v>
      </c>
      <c r="T55" s="65"/>
      <c r="U55" s="65"/>
      <c r="V55" s="65"/>
    </row>
    <row r="56" spans="2:22" ht="51">
      <c r="B56" s="75" t="s">
        <v>39</v>
      </c>
      <c r="C56" s="75" t="s">
        <v>6</v>
      </c>
      <c r="D56" s="75" t="s">
        <v>171</v>
      </c>
      <c r="E56" s="76"/>
      <c r="F56" s="76"/>
      <c r="G56" s="76"/>
      <c r="H56" s="77">
        <v>1</v>
      </c>
      <c r="I56" s="77"/>
      <c r="J56" s="77"/>
      <c r="K56" s="77"/>
      <c r="L56" s="77"/>
      <c r="M56" s="77"/>
      <c r="N56" s="15">
        <v>1</v>
      </c>
      <c r="O56" s="79">
        <v>120</v>
      </c>
      <c r="P56" s="80">
        <v>1095.15</v>
      </c>
      <c r="Q56" s="80">
        <v>0</v>
      </c>
      <c r="R56" s="80">
        <v>0</v>
      </c>
      <c r="S56" s="88">
        <f t="shared" si="3"/>
        <v>1095.15</v>
      </c>
      <c r="T56" s="65"/>
      <c r="U56" s="65"/>
      <c r="V56" s="65"/>
    </row>
    <row r="57" spans="2:22" ht="38.25">
      <c r="B57" s="75" t="s">
        <v>33</v>
      </c>
      <c r="C57" s="75" t="s">
        <v>19</v>
      </c>
      <c r="D57" s="75" t="s">
        <v>172</v>
      </c>
      <c r="E57" s="76"/>
      <c r="F57" s="76">
        <v>1</v>
      </c>
      <c r="G57" s="76"/>
      <c r="H57" s="77"/>
      <c r="I57" s="77"/>
      <c r="J57" s="77"/>
      <c r="K57" s="77"/>
      <c r="L57" s="77"/>
      <c r="M57" s="77"/>
      <c r="N57" s="15">
        <v>1</v>
      </c>
      <c r="O57" s="79"/>
      <c r="P57" s="80">
        <f>1128.69+1102.94</f>
        <v>2231.63</v>
      </c>
      <c r="Q57" s="80">
        <v>0</v>
      </c>
      <c r="R57" s="80">
        <v>0</v>
      </c>
      <c r="S57" s="88">
        <f t="shared" si="3"/>
        <v>2231.63</v>
      </c>
      <c r="T57" s="65"/>
      <c r="U57" s="65"/>
      <c r="V57" s="65"/>
    </row>
    <row r="58" spans="2:22" ht="51">
      <c r="B58" s="75" t="s">
        <v>33</v>
      </c>
      <c r="C58" s="75" t="s">
        <v>12</v>
      </c>
      <c r="D58" s="75" t="s">
        <v>166</v>
      </c>
      <c r="E58" s="76"/>
      <c r="F58" s="76">
        <f>22-9</f>
        <v>13</v>
      </c>
      <c r="G58" s="76"/>
      <c r="H58" s="77">
        <v>7</v>
      </c>
      <c r="I58" s="77"/>
      <c r="J58" s="77">
        <v>1</v>
      </c>
      <c r="K58" s="77">
        <v>1</v>
      </c>
      <c r="L58" s="77"/>
      <c r="M58" s="77"/>
      <c r="N58" s="15">
        <v>22</v>
      </c>
      <c r="O58" s="79">
        <v>12</v>
      </c>
      <c r="P58" s="80">
        <f>432.95+432.95+397.86+399.8+399.61+392.95+394.81+414.79+414.79+398.85+408.45+414.79+398.25+698.26+698.01+276.1+286.11+231.04+274.05+412.44+407.94+501.41+402.25+399.8+402.57+399.8</f>
        <v>10690.629999999997</v>
      </c>
      <c r="Q58" s="80">
        <v>0</v>
      </c>
      <c r="R58" s="80">
        <v>0</v>
      </c>
      <c r="S58" s="88">
        <f t="shared" si="3"/>
        <v>10690.629999999997</v>
      </c>
      <c r="T58" s="65"/>
      <c r="U58" s="65"/>
      <c r="V58" s="65"/>
    </row>
    <row r="59" spans="2:22" ht="38.25">
      <c r="B59" s="75" t="s">
        <v>29</v>
      </c>
      <c r="C59" s="75" t="s">
        <v>6</v>
      </c>
      <c r="D59" s="75" t="s">
        <v>173</v>
      </c>
      <c r="E59" s="76"/>
      <c r="F59" s="76"/>
      <c r="G59" s="76"/>
      <c r="H59" s="77"/>
      <c r="I59" s="77"/>
      <c r="J59" s="77">
        <v>1</v>
      </c>
      <c r="K59" s="77"/>
      <c r="L59" s="77"/>
      <c r="M59" s="77"/>
      <c r="N59" s="15">
        <v>1</v>
      </c>
      <c r="O59" s="79">
        <v>16</v>
      </c>
      <c r="P59" s="80">
        <v>557.29</v>
      </c>
      <c r="Q59" s="80">
        <f>574.42+694.62</f>
        <v>1269.04</v>
      </c>
      <c r="R59" s="80">
        <v>0</v>
      </c>
      <c r="S59" s="88">
        <f t="shared" si="3"/>
        <v>1826.33</v>
      </c>
      <c r="T59" s="65"/>
      <c r="U59" s="65"/>
      <c r="V59" s="65"/>
    </row>
    <row r="60" spans="2:22" ht="25.5">
      <c r="B60" s="75" t="s">
        <v>33</v>
      </c>
      <c r="C60" s="75" t="s">
        <v>6</v>
      </c>
      <c r="D60" s="75" t="s">
        <v>174</v>
      </c>
      <c r="E60" s="76"/>
      <c r="F60" s="76">
        <v>3</v>
      </c>
      <c r="G60" s="76"/>
      <c r="H60" s="77"/>
      <c r="I60" s="77"/>
      <c r="J60" s="77"/>
      <c r="K60" s="77"/>
      <c r="L60" s="77"/>
      <c r="M60" s="77"/>
      <c r="N60" s="15">
        <v>3</v>
      </c>
      <c r="O60" s="79">
        <v>24</v>
      </c>
      <c r="P60" s="80">
        <f>342.62+330.4+331.36</f>
        <v>1004.38</v>
      </c>
      <c r="Q60" s="80">
        <v>0</v>
      </c>
      <c r="R60" s="80">
        <v>0</v>
      </c>
      <c r="S60" s="88">
        <f t="shared" si="3"/>
        <v>1004.38</v>
      </c>
      <c r="T60" s="65"/>
      <c r="U60" s="65"/>
      <c r="V60" s="65"/>
    </row>
    <row r="61" spans="2:22" ht="102">
      <c r="B61" s="75" t="s">
        <v>82</v>
      </c>
      <c r="C61" s="75" t="s">
        <v>17</v>
      </c>
      <c r="D61" s="75" t="s">
        <v>244</v>
      </c>
      <c r="E61" s="76"/>
      <c r="F61" s="76"/>
      <c r="G61" s="76"/>
      <c r="H61" s="77">
        <v>1</v>
      </c>
      <c r="I61" s="77"/>
      <c r="J61" s="77"/>
      <c r="K61" s="77"/>
      <c r="L61" s="77"/>
      <c r="M61" s="77"/>
      <c r="N61" s="15">
        <v>1</v>
      </c>
      <c r="O61" s="79"/>
      <c r="P61" s="80">
        <f>571.6+578.84</f>
        <v>1150.44</v>
      </c>
      <c r="Q61" s="80">
        <f>(362.42+128.62+124.42+608.62)*2</f>
        <v>2448.16</v>
      </c>
      <c r="R61" s="80">
        <v>0</v>
      </c>
      <c r="S61" s="88">
        <f t="shared" si="3"/>
        <v>3598.6</v>
      </c>
      <c r="T61" s="65"/>
      <c r="U61" s="65"/>
      <c r="V61" s="65"/>
    </row>
    <row r="62" spans="2:22" ht="38.25">
      <c r="B62" s="75" t="s">
        <v>33</v>
      </c>
      <c r="C62" s="75" t="s">
        <v>19</v>
      </c>
      <c r="D62" s="75" t="s">
        <v>175</v>
      </c>
      <c r="E62" s="76">
        <v>1</v>
      </c>
      <c r="F62" s="76"/>
      <c r="G62" s="76"/>
      <c r="H62" s="77"/>
      <c r="I62" s="77"/>
      <c r="J62" s="77"/>
      <c r="K62" s="77"/>
      <c r="L62" s="77"/>
      <c r="M62" s="77"/>
      <c r="N62" s="15">
        <v>1</v>
      </c>
      <c r="O62" s="79"/>
      <c r="P62" s="80">
        <f>727.43+567.05+891.43</f>
        <v>2185.91</v>
      </c>
      <c r="Q62" s="80"/>
      <c r="R62" s="80">
        <v>0</v>
      </c>
      <c r="S62" s="88">
        <f t="shared" si="3"/>
        <v>2185.91</v>
      </c>
      <c r="T62" s="65"/>
      <c r="U62" s="65"/>
      <c r="V62" s="65"/>
    </row>
    <row r="63" spans="2:22" ht="51">
      <c r="B63" s="75" t="s">
        <v>176</v>
      </c>
      <c r="C63" s="75" t="s">
        <v>6</v>
      </c>
      <c r="D63" s="75" t="s">
        <v>177</v>
      </c>
      <c r="E63" s="76"/>
      <c r="F63" s="76">
        <v>2</v>
      </c>
      <c r="G63" s="76"/>
      <c r="H63" s="77"/>
      <c r="I63" s="77"/>
      <c r="J63" s="77"/>
      <c r="K63" s="77"/>
      <c r="L63" s="77"/>
      <c r="M63" s="77"/>
      <c r="N63" s="15">
        <v>2</v>
      </c>
      <c r="O63" s="79"/>
      <c r="P63" s="80">
        <f>518.84+518.84+394.91</f>
        <v>1432.5900000000001</v>
      </c>
      <c r="Q63" s="80">
        <v>0</v>
      </c>
      <c r="R63" s="80">
        <v>0</v>
      </c>
      <c r="S63" s="88">
        <f t="shared" si="3"/>
        <v>1432.5900000000001</v>
      </c>
      <c r="T63" s="65"/>
      <c r="U63" s="65"/>
      <c r="V63" s="65"/>
    </row>
    <row r="64" spans="2:22" ht="76.5">
      <c r="B64" s="75" t="s">
        <v>82</v>
      </c>
      <c r="C64" s="75" t="s">
        <v>19</v>
      </c>
      <c r="D64" s="75" t="s">
        <v>178</v>
      </c>
      <c r="E64" s="76"/>
      <c r="F64" s="76"/>
      <c r="G64" s="76"/>
      <c r="H64" s="77">
        <v>2</v>
      </c>
      <c r="I64" s="77"/>
      <c r="J64" s="77"/>
      <c r="K64" s="77"/>
      <c r="L64" s="77"/>
      <c r="M64" s="77"/>
      <c r="N64" s="15">
        <v>2</v>
      </c>
      <c r="O64" s="79">
        <v>16</v>
      </c>
      <c r="P64" s="80">
        <f>463.71+387.55</f>
        <v>851.26</v>
      </c>
      <c r="Q64" s="80">
        <f>(208.62+204.42)*2</f>
        <v>826.0799999999999</v>
      </c>
      <c r="R64" s="80">
        <v>0</v>
      </c>
      <c r="S64" s="88">
        <f t="shared" si="3"/>
        <v>1677.34</v>
      </c>
      <c r="T64" s="65"/>
      <c r="U64" s="65"/>
      <c r="V64" s="65"/>
    </row>
    <row r="65" spans="2:22" ht="63.75">
      <c r="B65" s="81" t="s">
        <v>49</v>
      </c>
      <c r="C65" s="75" t="s">
        <v>19</v>
      </c>
      <c r="D65" s="75" t="s">
        <v>146</v>
      </c>
      <c r="E65" s="76"/>
      <c r="F65" s="76"/>
      <c r="G65" s="76"/>
      <c r="H65" s="77"/>
      <c r="I65" s="77">
        <v>1</v>
      </c>
      <c r="J65" s="77"/>
      <c r="K65" s="77"/>
      <c r="L65" s="77"/>
      <c r="M65" s="77"/>
      <c r="N65" s="15">
        <v>1</v>
      </c>
      <c r="O65" s="79">
        <v>44</v>
      </c>
      <c r="P65" s="80">
        <v>1287.88</v>
      </c>
      <c r="Q65" s="80">
        <f>690.42+376.62</f>
        <v>1067.04</v>
      </c>
      <c r="R65" s="80">
        <v>75</v>
      </c>
      <c r="S65" s="88">
        <f t="shared" si="3"/>
        <v>2429.92</v>
      </c>
      <c r="T65" s="65"/>
      <c r="U65" s="65"/>
      <c r="V65" s="65"/>
    </row>
    <row r="66" spans="2:22" ht="38.25">
      <c r="B66" s="75" t="s">
        <v>33</v>
      </c>
      <c r="C66" s="75" t="s">
        <v>19</v>
      </c>
      <c r="D66" s="75" t="s">
        <v>179</v>
      </c>
      <c r="E66" s="76">
        <v>1</v>
      </c>
      <c r="F66" s="76"/>
      <c r="G66" s="76"/>
      <c r="H66" s="77"/>
      <c r="I66" s="77"/>
      <c r="J66" s="77"/>
      <c r="K66" s="77"/>
      <c r="L66" s="77"/>
      <c r="M66" s="77"/>
      <c r="N66" s="15">
        <v>1</v>
      </c>
      <c r="O66" s="79"/>
      <c r="P66" s="80">
        <v>445.69</v>
      </c>
      <c r="Q66" s="80">
        <f>165.42+480.62</f>
        <v>646.04</v>
      </c>
      <c r="R66" s="80">
        <v>0</v>
      </c>
      <c r="S66" s="88">
        <f t="shared" si="3"/>
        <v>1091.73</v>
      </c>
      <c r="T66" s="65"/>
      <c r="U66" s="65"/>
      <c r="V66" s="65"/>
    </row>
    <row r="67" spans="2:22" ht="51">
      <c r="B67" s="75" t="s">
        <v>24</v>
      </c>
      <c r="C67" s="75" t="s">
        <v>19</v>
      </c>
      <c r="D67" s="75" t="s">
        <v>180</v>
      </c>
      <c r="E67" s="76"/>
      <c r="F67" s="76"/>
      <c r="G67" s="76"/>
      <c r="H67" s="77">
        <v>2</v>
      </c>
      <c r="I67" s="77"/>
      <c r="J67" s="77"/>
      <c r="K67" s="77"/>
      <c r="L67" s="77"/>
      <c r="M67" s="77"/>
      <c r="N67" s="15">
        <v>2</v>
      </c>
      <c r="O67" s="79"/>
      <c r="P67" s="80">
        <v>987.62</v>
      </c>
      <c r="Q67" s="80">
        <f>(830.42+227.62)*2</f>
        <v>2116.08</v>
      </c>
      <c r="R67" s="80">
        <f>1170*2</f>
        <v>2340</v>
      </c>
      <c r="S67" s="88">
        <f t="shared" si="3"/>
        <v>5443.7</v>
      </c>
      <c r="T67" s="65"/>
      <c r="U67" s="65"/>
      <c r="V67" s="65"/>
    </row>
    <row r="68" spans="2:22" ht="38.25">
      <c r="B68" s="75" t="s">
        <v>33</v>
      </c>
      <c r="C68" s="75" t="s">
        <v>19</v>
      </c>
      <c r="D68" s="75" t="s">
        <v>181</v>
      </c>
      <c r="E68" s="76">
        <v>1</v>
      </c>
      <c r="F68" s="76"/>
      <c r="G68" s="76"/>
      <c r="H68" s="77"/>
      <c r="I68" s="77"/>
      <c r="J68" s="77"/>
      <c r="K68" s="77"/>
      <c r="L68" s="77"/>
      <c r="M68" s="77"/>
      <c r="N68" s="15">
        <v>1</v>
      </c>
      <c r="O68" s="79">
        <v>30</v>
      </c>
      <c r="P68" s="80">
        <v>715.05</v>
      </c>
      <c r="Q68" s="80">
        <f>1595.42+317.62+100</f>
        <v>2013.04</v>
      </c>
      <c r="R68" s="80">
        <v>0</v>
      </c>
      <c r="S68" s="88">
        <f t="shared" si="3"/>
        <v>2728.09</v>
      </c>
      <c r="T68" s="65"/>
      <c r="U68" s="65"/>
      <c r="V68" s="65"/>
    </row>
    <row r="69" spans="2:22" ht="25.5">
      <c r="B69" s="75" t="s">
        <v>33</v>
      </c>
      <c r="C69" s="75" t="s">
        <v>17</v>
      </c>
      <c r="D69" s="75" t="s">
        <v>182</v>
      </c>
      <c r="E69" s="76">
        <v>3</v>
      </c>
      <c r="F69" s="76"/>
      <c r="G69" s="76"/>
      <c r="H69" s="77">
        <v>2</v>
      </c>
      <c r="I69" s="77"/>
      <c r="J69" s="77"/>
      <c r="K69" s="77"/>
      <c r="L69" s="77"/>
      <c r="M69" s="77"/>
      <c r="N69" s="15">
        <v>5</v>
      </c>
      <c r="O69" s="79"/>
      <c r="P69" s="80">
        <f>165.3+142.51+108.34+108.34+134.36</f>
        <v>658.85</v>
      </c>
      <c r="Q69" s="80">
        <v>0</v>
      </c>
      <c r="R69" s="80">
        <v>0</v>
      </c>
      <c r="S69" s="88">
        <f t="shared" si="3"/>
        <v>658.85</v>
      </c>
      <c r="T69" s="65"/>
      <c r="U69" s="65"/>
      <c r="V69" s="65"/>
    </row>
    <row r="70" spans="2:22" ht="76.5">
      <c r="B70" s="75" t="s">
        <v>33</v>
      </c>
      <c r="C70" s="75" t="s">
        <v>19</v>
      </c>
      <c r="D70" s="75" t="s">
        <v>183</v>
      </c>
      <c r="E70" s="76">
        <v>1</v>
      </c>
      <c r="F70" s="76"/>
      <c r="G70" s="76"/>
      <c r="H70" s="77"/>
      <c r="I70" s="77"/>
      <c r="J70" s="77">
        <v>1</v>
      </c>
      <c r="K70" s="77">
        <v>1</v>
      </c>
      <c r="L70" s="77">
        <v>1</v>
      </c>
      <c r="M70" s="77"/>
      <c r="N70" s="15">
        <v>4</v>
      </c>
      <c r="O70" s="79">
        <v>16</v>
      </c>
      <c r="P70" s="80">
        <f>585.23+875.99+875.99+688.16</f>
        <v>3025.37</v>
      </c>
      <c r="Q70" s="80">
        <f>625.42+578.62+625.42+538.62+625.42+538.62</f>
        <v>3532.12</v>
      </c>
      <c r="R70" s="80">
        <v>0</v>
      </c>
      <c r="S70" s="88">
        <f t="shared" si="3"/>
        <v>6557.49</v>
      </c>
      <c r="T70" s="65"/>
      <c r="U70" s="65"/>
      <c r="V70" s="65"/>
    </row>
    <row r="71" spans="2:22" ht="63.75">
      <c r="B71" s="75" t="s">
        <v>33</v>
      </c>
      <c r="C71" s="75" t="s">
        <v>40</v>
      </c>
      <c r="D71" s="75" t="s">
        <v>184</v>
      </c>
      <c r="E71" s="76">
        <v>2</v>
      </c>
      <c r="F71" s="76"/>
      <c r="G71" s="76"/>
      <c r="H71" s="77"/>
      <c r="I71" s="77"/>
      <c r="J71" s="77"/>
      <c r="K71" s="77"/>
      <c r="L71" s="77"/>
      <c r="M71" s="77"/>
      <c r="N71" s="15">
        <v>2</v>
      </c>
      <c r="O71" s="79">
        <v>16</v>
      </c>
      <c r="P71" s="80">
        <f>584.48+563.49</f>
        <v>1147.97</v>
      </c>
      <c r="Q71" s="80">
        <v>0</v>
      </c>
      <c r="R71" s="80">
        <v>0</v>
      </c>
      <c r="S71" s="88">
        <f t="shared" si="3"/>
        <v>1147.97</v>
      </c>
      <c r="T71" s="65"/>
      <c r="U71" s="65"/>
      <c r="V71" s="65"/>
    </row>
    <row r="72" spans="2:21" ht="63.75">
      <c r="B72" s="75" t="s">
        <v>33</v>
      </c>
      <c r="C72" s="75" t="s">
        <v>40</v>
      </c>
      <c r="D72" s="75" t="s">
        <v>184</v>
      </c>
      <c r="E72" s="76">
        <v>1</v>
      </c>
      <c r="F72" s="76"/>
      <c r="G72" s="76"/>
      <c r="H72" s="77"/>
      <c r="I72" s="77"/>
      <c r="J72" s="77"/>
      <c r="K72" s="77"/>
      <c r="L72" s="77"/>
      <c r="M72" s="77"/>
      <c r="N72" s="15">
        <v>1</v>
      </c>
      <c r="O72" s="79">
        <v>8</v>
      </c>
      <c r="P72" s="80">
        <v>363.24</v>
      </c>
      <c r="Q72" s="80">
        <f>690.42+240.62+240.62</f>
        <v>1171.6599999999999</v>
      </c>
      <c r="R72" s="80">
        <v>0</v>
      </c>
      <c r="S72" s="88">
        <f aca="true" t="shared" si="4" ref="S72:S99">P72+Q72+R72</f>
        <v>1534.8999999999999</v>
      </c>
      <c r="T72" s="65"/>
      <c r="U72" s="65"/>
    </row>
    <row r="73" spans="2:21" ht="63.75">
      <c r="B73" s="82" t="s">
        <v>82</v>
      </c>
      <c r="C73" s="57" t="s">
        <v>6</v>
      </c>
      <c r="D73" s="57" t="s">
        <v>185</v>
      </c>
      <c r="E73" s="15"/>
      <c r="F73" s="15"/>
      <c r="G73" s="15"/>
      <c r="H73" s="15">
        <v>1</v>
      </c>
      <c r="I73" s="15"/>
      <c r="J73" s="15"/>
      <c r="K73" s="15"/>
      <c r="L73" s="15"/>
      <c r="M73" s="15"/>
      <c r="N73" s="15">
        <v>1</v>
      </c>
      <c r="O73" s="79">
        <v>36</v>
      </c>
      <c r="P73" s="80">
        <v>803.46</v>
      </c>
      <c r="Q73" s="80">
        <f>935.42+588.62</f>
        <v>1524.04</v>
      </c>
      <c r="R73" s="80"/>
      <c r="S73" s="88">
        <f t="shared" si="4"/>
        <v>2327.5</v>
      </c>
      <c r="T73" s="65"/>
      <c r="U73" s="65"/>
    </row>
    <row r="74" spans="2:21" ht="51">
      <c r="B74" s="57" t="s">
        <v>33</v>
      </c>
      <c r="C74" s="57" t="s">
        <v>19</v>
      </c>
      <c r="D74" s="57" t="s">
        <v>186</v>
      </c>
      <c r="E74" s="15">
        <v>1</v>
      </c>
      <c r="F74" s="15"/>
      <c r="G74" s="15"/>
      <c r="H74" s="15"/>
      <c r="I74" s="15"/>
      <c r="J74" s="15"/>
      <c r="K74" s="15"/>
      <c r="L74" s="15"/>
      <c r="M74" s="15"/>
      <c r="N74" s="15">
        <v>1</v>
      </c>
      <c r="O74" s="79">
        <v>24</v>
      </c>
      <c r="P74" s="80">
        <v>1144.01</v>
      </c>
      <c r="Q74" s="80">
        <f>624.42+548.62</f>
        <v>1173.04</v>
      </c>
      <c r="R74" s="80">
        <v>0</v>
      </c>
      <c r="S74" s="88">
        <f t="shared" si="4"/>
        <v>2317.05</v>
      </c>
      <c r="T74" s="65"/>
      <c r="U74" s="65"/>
    </row>
    <row r="75" spans="2:21" ht="63.75">
      <c r="B75" s="57" t="s">
        <v>24</v>
      </c>
      <c r="C75" s="57" t="s">
        <v>19</v>
      </c>
      <c r="D75" s="57" t="s">
        <v>188</v>
      </c>
      <c r="E75" s="15"/>
      <c r="F75" s="15"/>
      <c r="G75" s="15"/>
      <c r="H75" s="15"/>
      <c r="I75" s="15"/>
      <c r="J75" s="15">
        <v>1</v>
      </c>
      <c r="K75" s="15"/>
      <c r="L75" s="15"/>
      <c r="M75" s="15"/>
      <c r="N75" s="15">
        <v>1</v>
      </c>
      <c r="O75" s="79">
        <v>24</v>
      </c>
      <c r="P75" s="80">
        <f>156.69*3.5+54.98</f>
        <v>603.395</v>
      </c>
      <c r="Q75" s="80">
        <f>755.42+538.62</f>
        <v>1294.04</v>
      </c>
      <c r="R75" s="80"/>
      <c r="S75" s="88">
        <f t="shared" si="4"/>
        <v>1897.435</v>
      </c>
      <c r="T75" s="65" t="s">
        <v>190</v>
      </c>
      <c r="U75" s="65"/>
    </row>
    <row r="76" spans="2:21" ht="76.5">
      <c r="B76" s="57" t="s">
        <v>33</v>
      </c>
      <c r="C76" s="57" t="s">
        <v>19</v>
      </c>
      <c r="D76" s="57" t="s">
        <v>187</v>
      </c>
      <c r="E76" s="15"/>
      <c r="F76" s="15"/>
      <c r="G76" s="15"/>
      <c r="H76" s="15"/>
      <c r="I76" s="15"/>
      <c r="J76" s="15">
        <v>1</v>
      </c>
      <c r="K76" s="15"/>
      <c r="L76" s="15"/>
      <c r="M76" s="15"/>
      <c r="N76" s="15">
        <v>1</v>
      </c>
      <c r="O76" s="79">
        <v>8</v>
      </c>
      <c r="P76" s="80">
        <v>450.55</v>
      </c>
      <c r="Q76" s="80">
        <f>204.42+76.44</f>
        <v>280.86</v>
      </c>
      <c r="R76" s="80">
        <v>0</v>
      </c>
      <c r="S76" s="88">
        <f t="shared" si="4"/>
        <v>731.4100000000001</v>
      </c>
      <c r="T76" s="65" t="s">
        <v>191</v>
      </c>
      <c r="U76" s="65"/>
    </row>
    <row r="77" spans="2:21" ht="38.25">
      <c r="B77" s="81" t="s">
        <v>29</v>
      </c>
      <c r="C77" s="57" t="s">
        <v>6</v>
      </c>
      <c r="D77" s="57" t="s">
        <v>192</v>
      </c>
      <c r="E77" s="15"/>
      <c r="F77" s="15">
        <v>1</v>
      </c>
      <c r="G77" s="15"/>
      <c r="H77" s="15"/>
      <c r="I77" s="15"/>
      <c r="J77" s="15"/>
      <c r="K77" s="15"/>
      <c r="L77" s="15"/>
      <c r="M77" s="15"/>
      <c r="N77" s="15">
        <v>1</v>
      </c>
      <c r="O77" s="15">
        <v>30</v>
      </c>
      <c r="P77" s="80">
        <v>556.23</v>
      </c>
      <c r="Q77" s="80">
        <f>(255.42+98.62+21.5)*2</f>
        <v>751.0799999999999</v>
      </c>
      <c r="R77" s="80"/>
      <c r="S77" s="88">
        <f t="shared" si="4"/>
        <v>1307.31</v>
      </c>
      <c r="T77" s="65" t="s">
        <v>189</v>
      </c>
      <c r="U77" s="65"/>
    </row>
    <row r="78" spans="2:21" ht="51">
      <c r="B78" s="57" t="s">
        <v>33</v>
      </c>
      <c r="C78" s="57" t="s">
        <v>19</v>
      </c>
      <c r="D78" s="57" t="s">
        <v>193</v>
      </c>
      <c r="E78" s="15">
        <v>3</v>
      </c>
      <c r="F78" s="15"/>
      <c r="G78" s="15"/>
      <c r="H78" s="15"/>
      <c r="I78" s="15"/>
      <c r="J78" s="15"/>
      <c r="K78" s="15"/>
      <c r="L78" s="15"/>
      <c r="M78" s="15"/>
      <c r="N78" s="15">
        <v>3</v>
      </c>
      <c r="O78" s="15"/>
      <c r="P78" s="80">
        <f>667.22+656.66+667.22</f>
        <v>1991.1000000000001</v>
      </c>
      <c r="Q78" s="80">
        <f>(890.42+597.62)*2</f>
        <v>2976.08</v>
      </c>
      <c r="R78" s="80"/>
      <c r="S78" s="88">
        <f t="shared" si="4"/>
        <v>4967.18</v>
      </c>
      <c r="T78" s="65"/>
      <c r="U78" s="65"/>
    </row>
    <row r="79" spans="2:21" ht="38.25">
      <c r="B79" s="81" t="s">
        <v>27</v>
      </c>
      <c r="C79" s="57" t="s">
        <v>6</v>
      </c>
      <c r="D79" s="57" t="s">
        <v>194</v>
      </c>
      <c r="E79" s="15"/>
      <c r="F79" s="15"/>
      <c r="G79" s="15"/>
      <c r="H79" s="15"/>
      <c r="I79" s="15">
        <v>1</v>
      </c>
      <c r="J79" s="15"/>
      <c r="K79" s="15"/>
      <c r="L79" s="15"/>
      <c r="M79" s="15"/>
      <c r="N79" s="15">
        <v>1</v>
      </c>
      <c r="O79" s="15">
        <v>16</v>
      </c>
      <c r="P79" s="80">
        <v>585.23</v>
      </c>
      <c r="Q79" s="80">
        <f>565.42+209.62+209.62</f>
        <v>984.66</v>
      </c>
      <c r="R79" s="80"/>
      <c r="S79" s="88">
        <f t="shared" si="4"/>
        <v>1569.8899999999999</v>
      </c>
      <c r="T79" s="65"/>
      <c r="U79" s="65"/>
    </row>
    <row r="80" spans="2:21" ht="102">
      <c r="B80" s="57" t="s">
        <v>33</v>
      </c>
      <c r="C80" s="57" t="s">
        <v>18</v>
      </c>
      <c r="D80" s="57" t="s">
        <v>195</v>
      </c>
      <c r="E80" s="15">
        <v>1</v>
      </c>
      <c r="F80" s="15"/>
      <c r="G80" s="15"/>
      <c r="H80" s="15"/>
      <c r="I80" s="15"/>
      <c r="J80" s="15"/>
      <c r="K80" s="15"/>
      <c r="L80" s="15"/>
      <c r="M80" s="15"/>
      <c r="N80" s="15">
        <v>1</v>
      </c>
      <c r="O80" s="15">
        <v>24</v>
      </c>
      <c r="P80" s="80">
        <v>554.63</v>
      </c>
      <c r="Q80" s="80">
        <f>210.42+214.62</f>
        <v>425.03999999999996</v>
      </c>
      <c r="R80" s="80"/>
      <c r="S80" s="88">
        <f t="shared" si="4"/>
        <v>979.67</v>
      </c>
      <c r="T80" s="65"/>
      <c r="U80" s="65"/>
    </row>
    <row r="81" spans="2:21" ht="51">
      <c r="B81" s="57" t="s">
        <v>33</v>
      </c>
      <c r="C81" s="57" t="s">
        <v>6</v>
      </c>
      <c r="D81" s="57" t="s">
        <v>196</v>
      </c>
      <c r="E81" s="15">
        <v>3</v>
      </c>
      <c r="F81" s="15"/>
      <c r="G81" s="15"/>
      <c r="H81" s="15"/>
      <c r="I81" s="15"/>
      <c r="J81" s="15"/>
      <c r="K81" s="15"/>
      <c r="L81" s="15"/>
      <c r="M81" s="15"/>
      <c r="N81" s="15">
        <v>3</v>
      </c>
      <c r="O81" s="15">
        <v>16</v>
      </c>
      <c r="P81" s="62">
        <f>224.37+227.36+234.56</f>
        <v>686.29</v>
      </c>
      <c r="Q81" s="62"/>
      <c r="R81" s="62"/>
      <c r="S81" s="88">
        <f t="shared" si="4"/>
        <v>686.29</v>
      </c>
      <c r="T81" s="65"/>
      <c r="U81" s="65"/>
    </row>
    <row r="82" spans="2:21" ht="38.25">
      <c r="B82" s="57" t="s">
        <v>33</v>
      </c>
      <c r="C82" s="57" t="s">
        <v>6</v>
      </c>
      <c r="D82" s="57" t="s">
        <v>197</v>
      </c>
      <c r="E82" s="15">
        <v>2</v>
      </c>
      <c r="F82" s="15"/>
      <c r="G82" s="15"/>
      <c r="H82" s="15">
        <v>5</v>
      </c>
      <c r="I82" s="15"/>
      <c r="J82" s="15"/>
      <c r="K82" s="15"/>
      <c r="L82" s="15"/>
      <c r="M82" s="15"/>
      <c r="N82" s="15">
        <v>7</v>
      </c>
      <c r="O82" s="15">
        <v>32</v>
      </c>
      <c r="P82" s="62">
        <f>646.86+646.86+646.31+626.24+649.83+626.24+641.92</f>
        <v>4484.26</v>
      </c>
      <c r="Q82" s="62">
        <f>(1075.42+437.62)*7</f>
        <v>10591.279999999999</v>
      </c>
      <c r="R82" s="62"/>
      <c r="S82" s="88">
        <f t="shared" si="4"/>
        <v>15075.539999999999</v>
      </c>
      <c r="T82" s="65"/>
      <c r="U82" s="65"/>
    </row>
    <row r="83" spans="2:21" ht="76.5">
      <c r="B83" s="57" t="s">
        <v>33</v>
      </c>
      <c r="C83" s="57" t="s">
        <v>12</v>
      </c>
      <c r="D83" s="57" t="s">
        <v>198</v>
      </c>
      <c r="E83" s="15"/>
      <c r="F83" s="15"/>
      <c r="G83" s="15"/>
      <c r="H83" s="15">
        <v>1</v>
      </c>
      <c r="I83" s="15"/>
      <c r="J83" s="15"/>
      <c r="K83" s="15"/>
      <c r="L83" s="15"/>
      <c r="M83" s="15"/>
      <c r="N83" s="15">
        <v>1</v>
      </c>
      <c r="O83" s="15">
        <v>40</v>
      </c>
      <c r="P83" s="62">
        <v>803.46</v>
      </c>
      <c r="Q83" s="62">
        <f>875.42+604.62</f>
        <v>1480.04</v>
      </c>
      <c r="R83" s="62"/>
      <c r="S83" s="89">
        <f t="shared" si="4"/>
        <v>2283.5</v>
      </c>
      <c r="T83" s="65"/>
      <c r="U83" s="65"/>
    </row>
    <row r="84" spans="2:21" ht="51">
      <c r="B84" s="57" t="s">
        <v>33</v>
      </c>
      <c r="C84" s="57" t="s">
        <v>19</v>
      </c>
      <c r="D84" s="57" t="s">
        <v>199</v>
      </c>
      <c r="E84" s="15">
        <v>3</v>
      </c>
      <c r="F84" s="15"/>
      <c r="G84" s="15"/>
      <c r="H84" s="15">
        <v>2</v>
      </c>
      <c r="I84" s="15"/>
      <c r="J84" s="15"/>
      <c r="K84" s="15"/>
      <c r="L84" s="15"/>
      <c r="M84" s="15"/>
      <c r="N84" s="15">
        <v>5</v>
      </c>
      <c r="O84" s="15">
        <v>24</v>
      </c>
      <c r="P84" s="62">
        <f>224.36*3+239.54+239.54+224.55</f>
        <v>1376.71</v>
      </c>
      <c r="Q84" s="62"/>
      <c r="R84" s="62"/>
      <c r="S84" s="89">
        <f t="shared" si="4"/>
        <v>1376.71</v>
      </c>
      <c r="T84" s="65"/>
      <c r="U84" s="65"/>
    </row>
    <row r="85" spans="2:21" ht="38.25">
      <c r="B85" s="81" t="s">
        <v>27</v>
      </c>
      <c r="C85" s="57" t="s">
        <v>6</v>
      </c>
      <c r="D85" s="57" t="s">
        <v>200</v>
      </c>
      <c r="E85" s="15"/>
      <c r="F85" s="15"/>
      <c r="G85" s="15"/>
      <c r="H85" s="15">
        <v>1</v>
      </c>
      <c r="I85" s="15"/>
      <c r="J85" s="15"/>
      <c r="K85" s="15"/>
      <c r="L85" s="15"/>
      <c r="M85" s="15"/>
      <c r="N85" s="15">
        <v>1</v>
      </c>
      <c r="O85" s="15">
        <v>40</v>
      </c>
      <c r="P85" s="62">
        <f>591.76</f>
        <v>591.76</v>
      </c>
      <c r="Q85" s="62">
        <f>129.7*2</f>
        <v>259.4</v>
      </c>
      <c r="R85" s="62"/>
      <c r="S85" s="89">
        <f t="shared" si="4"/>
        <v>851.16</v>
      </c>
      <c r="T85" s="65"/>
      <c r="U85" s="65"/>
    </row>
    <row r="86" spans="2:21" ht="38.25">
      <c r="B86" s="57" t="s">
        <v>33</v>
      </c>
      <c r="C86" s="57" t="s">
        <v>19</v>
      </c>
      <c r="D86" s="57" t="s">
        <v>201</v>
      </c>
      <c r="E86" s="15"/>
      <c r="F86" s="15"/>
      <c r="G86" s="15"/>
      <c r="H86" s="15">
        <v>1</v>
      </c>
      <c r="I86" s="15"/>
      <c r="J86" s="15"/>
      <c r="K86" s="15"/>
      <c r="L86" s="15"/>
      <c r="M86" s="15"/>
      <c r="N86" s="15">
        <v>1</v>
      </c>
      <c r="O86" s="15">
        <v>16</v>
      </c>
      <c r="P86" s="62">
        <v>297.14</v>
      </c>
      <c r="Q86" s="62"/>
      <c r="R86" s="62"/>
      <c r="S86" s="89">
        <f t="shared" si="4"/>
        <v>297.14</v>
      </c>
      <c r="T86" s="65"/>
      <c r="U86" s="65"/>
    </row>
    <row r="87" spans="2:21" ht="38.25">
      <c r="B87" s="57" t="s">
        <v>33</v>
      </c>
      <c r="C87" s="57" t="s">
        <v>19</v>
      </c>
      <c r="D87" s="57" t="s">
        <v>202</v>
      </c>
      <c r="E87" s="15">
        <v>1</v>
      </c>
      <c r="F87" s="15"/>
      <c r="G87" s="15"/>
      <c r="H87" s="15"/>
      <c r="I87" s="15"/>
      <c r="J87" s="15"/>
      <c r="K87" s="15"/>
      <c r="L87" s="15"/>
      <c r="M87" s="15"/>
      <c r="N87" s="15">
        <v>1</v>
      </c>
      <c r="O87" s="15">
        <v>40</v>
      </c>
      <c r="P87" s="62">
        <v>1134.99</v>
      </c>
      <c r="Q87" s="62">
        <f>1060.42+879.62+21.4+21.65</f>
        <v>1983.0900000000001</v>
      </c>
      <c r="R87" s="62"/>
      <c r="S87" s="89">
        <f t="shared" si="4"/>
        <v>3118.08</v>
      </c>
      <c r="T87" s="65"/>
      <c r="U87" s="65"/>
    </row>
    <row r="88" spans="2:21" ht="38.25">
      <c r="B88" s="57" t="s">
        <v>33</v>
      </c>
      <c r="C88" s="57" t="s">
        <v>19</v>
      </c>
      <c r="D88" s="57" t="s">
        <v>203</v>
      </c>
      <c r="E88" s="15">
        <v>1</v>
      </c>
      <c r="F88" s="15"/>
      <c r="G88" s="15"/>
      <c r="H88" s="15"/>
      <c r="I88" s="15"/>
      <c r="J88" s="15"/>
      <c r="K88" s="15"/>
      <c r="L88" s="15"/>
      <c r="M88" s="15"/>
      <c r="N88" s="15">
        <v>1</v>
      </c>
      <c r="O88" s="15">
        <v>32</v>
      </c>
      <c r="P88" s="62">
        <v>701.15</v>
      </c>
      <c r="Q88" s="62">
        <f>734.62+210.42</f>
        <v>945.04</v>
      </c>
      <c r="R88" s="62"/>
      <c r="S88" s="89">
        <f t="shared" si="4"/>
        <v>1646.19</v>
      </c>
      <c r="T88" s="65"/>
      <c r="U88" s="65"/>
    </row>
    <row r="89" spans="2:21" ht="51">
      <c r="B89" s="57" t="s">
        <v>33</v>
      </c>
      <c r="C89" s="57" t="s">
        <v>19</v>
      </c>
      <c r="D89" s="57" t="s">
        <v>204</v>
      </c>
      <c r="E89" s="15">
        <v>1</v>
      </c>
      <c r="F89" s="15"/>
      <c r="G89" s="15"/>
      <c r="H89" s="15"/>
      <c r="I89" s="15"/>
      <c r="J89" s="15"/>
      <c r="K89" s="15"/>
      <c r="L89" s="15"/>
      <c r="M89" s="15"/>
      <c r="N89" s="15">
        <v>1</v>
      </c>
      <c r="O89" s="15">
        <v>40</v>
      </c>
      <c r="P89" s="62">
        <v>956.12</v>
      </c>
      <c r="Q89" s="62">
        <f>210.42+1004.62+1004.62+38.68+38.68</f>
        <v>2297.0199999999995</v>
      </c>
      <c r="R89" s="62"/>
      <c r="S89" s="89">
        <f t="shared" si="4"/>
        <v>3253.1399999999994</v>
      </c>
      <c r="T89" s="65"/>
      <c r="U89" s="65"/>
    </row>
    <row r="90" spans="2:21" ht="38.25">
      <c r="B90" s="81" t="s">
        <v>29</v>
      </c>
      <c r="C90" s="57" t="s">
        <v>6</v>
      </c>
      <c r="D90" s="57" t="s">
        <v>206</v>
      </c>
      <c r="E90" s="15"/>
      <c r="F90" s="15"/>
      <c r="G90" s="15"/>
      <c r="H90" s="15"/>
      <c r="I90" s="15">
        <v>1</v>
      </c>
      <c r="J90" s="15"/>
      <c r="K90" s="15"/>
      <c r="L90" s="15"/>
      <c r="M90" s="15"/>
      <c r="N90" s="15">
        <v>1</v>
      </c>
      <c r="O90" s="15">
        <v>40</v>
      </c>
      <c r="P90" s="62">
        <v>953.9</v>
      </c>
      <c r="Q90" s="62">
        <f>614.42+784.62</f>
        <v>1399.04</v>
      </c>
      <c r="R90" s="62"/>
      <c r="S90" s="89">
        <f t="shared" si="4"/>
        <v>2352.94</v>
      </c>
      <c r="T90" s="65" t="s">
        <v>205</v>
      </c>
      <c r="U90" s="65"/>
    </row>
    <row r="91" spans="2:21" ht="63.75">
      <c r="B91" s="81" t="s">
        <v>49</v>
      </c>
      <c r="C91" s="57" t="s">
        <v>6</v>
      </c>
      <c r="D91" s="57" t="s">
        <v>207</v>
      </c>
      <c r="E91" s="15"/>
      <c r="F91" s="15"/>
      <c r="G91" s="15"/>
      <c r="H91" s="15">
        <v>3</v>
      </c>
      <c r="I91" s="15"/>
      <c r="J91" s="15"/>
      <c r="K91" s="15"/>
      <c r="L91" s="15"/>
      <c r="M91" s="15"/>
      <c r="N91" s="15">
        <v>3</v>
      </c>
      <c r="O91" s="15">
        <v>44</v>
      </c>
      <c r="P91" s="62">
        <f>755.06+60.7+755.06+60.7+900.86+61.86</f>
        <v>2594.2400000000002</v>
      </c>
      <c r="Q91" s="62">
        <f>210.42+228.62+168.62+158.62+228.62+210.42+168.62+158.62+210.42+228.62+168.62+158.62</f>
        <v>2298.8399999999997</v>
      </c>
      <c r="R91" s="62"/>
      <c r="S91" s="89">
        <f t="shared" si="4"/>
        <v>4893.08</v>
      </c>
      <c r="T91" s="65" t="s">
        <v>208</v>
      </c>
      <c r="U91" s="65"/>
    </row>
    <row r="92" spans="2:21" ht="38.25">
      <c r="B92" s="57" t="s">
        <v>33</v>
      </c>
      <c r="C92" s="57" t="s">
        <v>19</v>
      </c>
      <c r="D92" s="57" t="s">
        <v>209</v>
      </c>
      <c r="E92" s="15">
        <v>1</v>
      </c>
      <c r="F92" s="15"/>
      <c r="G92" s="15"/>
      <c r="H92" s="15"/>
      <c r="I92" s="15"/>
      <c r="J92" s="15"/>
      <c r="K92" s="15"/>
      <c r="L92" s="15"/>
      <c r="M92" s="15"/>
      <c r="N92" s="15">
        <v>1</v>
      </c>
      <c r="O92" s="15">
        <v>40</v>
      </c>
      <c r="P92" s="62">
        <v>938.41</v>
      </c>
      <c r="Q92" s="62">
        <f>604.62+604.62+10.3+45.88</f>
        <v>1265.42</v>
      </c>
      <c r="R92" s="62"/>
      <c r="S92" s="89">
        <f t="shared" si="4"/>
        <v>2203.83</v>
      </c>
      <c r="T92" s="65"/>
      <c r="U92" s="65"/>
    </row>
    <row r="93" spans="2:21" ht="38.25">
      <c r="B93" s="57" t="s">
        <v>33</v>
      </c>
      <c r="C93" s="57" t="s">
        <v>19</v>
      </c>
      <c r="D93" s="57" t="s">
        <v>210</v>
      </c>
      <c r="E93" s="15">
        <v>1</v>
      </c>
      <c r="F93" s="15"/>
      <c r="G93" s="15"/>
      <c r="H93" s="15">
        <v>1</v>
      </c>
      <c r="I93" s="15"/>
      <c r="J93" s="15"/>
      <c r="K93" s="15"/>
      <c r="L93" s="15"/>
      <c r="M93" s="15"/>
      <c r="N93" s="15">
        <v>2</v>
      </c>
      <c r="O93" s="15"/>
      <c r="P93" s="62">
        <f>437.94+433.45</f>
        <v>871.39</v>
      </c>
      <c r="Q93" s="62">
        <f>(164.42+108.62+108.62+158.62)*2</f>
        <v>1080.56</v>
      </c>
      <c r="R93" s="62"/>
      <c r="S93" s="89">
        <f t="shared" si="4"/>
        <v>1951.9499999999998</v>
      </c>
      <c r="T93" s="65"/>
      <c r="U93" s="65"/>
    </row>
    <row r="94" spans="2:21" ht="38.25">
      <c r="B94" s="57" t="s">
        <v>33</v>
      </c>
      <c r="C94" s="57" t="s">
        <v>19</v>
      </c>
      <c r="D94" s="57" t="s">
        <v>211</v>
      </c>
      <c r="E94" s="15">
        <v>1</v>
      </c>
      <c r="F94" s="15"/>
      <c r="G94" s="15"/>
      <c r="H94" s="15"/>
      <c r="I94" s="15"/>
      <c r="J94" s="15"/>
      <c r="K94" s="15"/>
      <c r="L94" s="15"/>
      <c r="M94" s="15"/>
      <c r="N94" s="15">
        <v>1</v>
      </c>
      <c r="O94" s="15">
        <v>16</v>
      </c>
      <c r="P94" s="62">
        <v>471.82</v>
      </c>
      <c r="Q94" s="62"/>
      <c r="R94" s="62">
        <v>610</v>
      </c>
      <c r="S94" s="89">
        <f t="shared" si="4"/>
        <v>1081.82</v>
      </c>
      <c r="T94" s="65"/>
      <c r="U94" s="65"/>
    </row>
    <row r="95" spans="2:21" ht="38.25">
      <c r="B95" s="57" t="s">
        <v>82</v>
      </c>
      <c r="C95" s="57" t="s">
        <v>19</v>
      </c>
      <c r="D95" s="57" t="s">
        <v>212</v>
      </c>
      <c r="E95" s="15"/>
      <c r="F95" s="15"/>
      <c r="G95" s="15"/>
      <c r="H95" s="15">
        <v>2</v>
      </c>
      <c r="I95" s="15"/>
      <c r="J95" s="15"/>
      <c r="K95" s="15"/>
      <c r="L95" s="15"/>
      <c r="M95" s="15"/>
      <c r="N95" s="15">
        <v>2</v>
      </c>
      <c r="O95" s="15" t="s">
        <v>213</v>
      </c>
      <c r="P95" s="62">
        <f>403.72+402.09</f>
        <v>805.81</v>
      </c>
      <c r="Q95" s="62">
        <f>210.42+468.62+554.62+158.62+235.42+468.62+554.62+158.62</f>
        <v>2809.5599999999995</v>
      </c>
      <c r="R95" s="62">
        <v>0</v>
      </c>
      <c r="S95" s="89">
        <f t="shared" si="4"/>
        <v>3615.3699999999994</v>
      </c>
      <c r="T95" s="65"/>
      <c r="U95" s="65"/>
    </row>
    <row r="96" spans="2:21" ht="38.25">
      <c r="B96" s="57" t="s">
        <v>82</v>
      </c>
      <c r="C96" s="57" t="s">
        <v>19</v>
      </c>
      <c r="D96" s="57" t="s">
        <v>214</v>
      </c>
      <c r="E96" s="15">
        <v>1</v>
      </c>
      <c r="F96" s="15"/>
      <c r="G96" s="15"/>
      <c r="H96" s="15"/>
      <c r="I96" s="15"/>
      <c r="J96" s="15"/>
      <c r="K96" s="15"/>
      <c r="L96" s="15"/>
      <c r="M96" s="15"/>
      <c r="N96" s="15">
        <v>1</v>
      </c>
      <c r="O96" s="15">
        <v>24</v>
      </c>
      <c r="P96" s="62">
        <v>671.86</v>
      </c>
      <c r="Q96" s="62"/>
      <c r="R96" s="62">
        <v>600</v>
      </c>
      <c r="S96" s="89">
        <f t="shared" si="4"/>
        <v>1271.8600000000001</v>
      </c>
      <c r="T96" s="65"/>
      <c r="U96" s="65"/>
    </row>
    <row r="97" spans="2:21" ht="51">
      <c r="B97" s="57" t="s">
        <v>82</v>
      </c>
      <c r="C97" s="57" t="s">
        <v>19</v>
      </c>
      <c r="D97" s="57" t="s">
        <v>215</v>
      </c>
      <c r="E97" s="15"/>
      <c r="F97" s="15"/>
      <c r="G97" s="15"/>
      <c r="H97" s="15"/>
      <c r="I97" s="15">
        <v>1</v>
      </c>
      <c r="J97" s="15"/>
      <c r="K97" s="15"/>
      <c r="L97" s="15"/>
      <c r="M97" s="15"/>
      <c r="N97" s="15">
        <v>1</v>
      </c>
      <c r="O97" s="15">
        <v>16</v>
      </c>
      <c r="P97" s="62">
        <v>582.89</v>
      </c>
      <c r="Q97" s="62"/>
      <c r="R97" s="62"/>
      <c r="S97" s="89">
        <f t="shared" si="4"/>
        <v>582.89</v>
      </c>
      <c r="T97" s="65"/>
      <c r="U97" s="65"/>
    </row>
    <row r="98" spans="2:21" ht="51">
      <c r="B98" s="57" t="s">
        <v>33</v>
      </c>
      <c r="C98" s="57" t="s">
        <v>19</v>
      </c>
      <c r="D98" s="57" t="s">
        <v>216</v>
      </c>
      <c r="E98" s="15">
        <v>2</v>
      </c>
      <c r="F98" s="15"/>
      <c r="G98" s="15"/>
      <c r="H98" s="15">
        <v>1</v>
      </c>
      <c r="I98" s="15"/>
      <c r="J98" s="15"/>
      <c r="K98" s="15"/>
      <c r="L98" s="15"/>
      <c r="M98" s="15"/>
      <c r="N98" s="15">
        <v>3</v>
      </c>
      <c r="O98" s="15">
        <v>24</v>
      </c>
      <c r="P98" s="62">
        <f>463.27+447.27+467.66</f>
        <v>1378.2</v>
      </c>
      <c r="Q98" s="62"/>
      <c r="R98" s="62"/>
      <c r="S98" s="89">
        <f t="shared" si="4"/>
        <v>1378.2</v>
      </c>
      <c r="T98" s="65"/>
      <c r="U98" s="65"/>
    </row>
    <row r="99" spans="2:21" ht="38.25">
      <c r="B99" s="57" t="s">
        <v>33</v>
      </c>
      <c r="C99" s="57" t="s">
        <v>19</v>
      </c>
      <c r="D99" s="57" t="s">
        <v>217</v>
      </c>
      <c r="E99" s="15"/>
      <c r="F99" s="15"/>
      <c r="G99" s="15"/>
      <c r="H99" s="15">
        <v>1</v>
      </c>
      <c r="I99" s="15"/>
      <c r="J99" s="15"/>
      <c r="K99" s="15"/>
      <c r="L99" s="15"/>
      <c r="M99" s="15"/>
      <c r="N99" s="15">
        <v>1</v>
      </c>
      <c r="O99" s="15">
        <v>30</v>
      </c>
      <c r="P99" s="62">
        <v>428.77</v>
      </c>
      <c r="Q99" s="62">
        <f>139+119.62</f>
        <v>258.62</v>
      </c>
      <c r="R99" s="62">
        <v>100</v>
      </c>
      <c r="S99" s="89">
        <f t="shared" si="4"/>
        <v>787.39</v>
      </c>
      <c r="T99" s="65"/>
      <c r="U99" s="65"/>
    </row>
    <row r="100" spans="2:21" ht="51">
      <c r="B100" s="81" t="s">
        <v>49</v>
      </c>
      <c r="C100" s="57" t="s">
        <v>19</v>
      </c>
      <c r="D100" s="57" t="s">
        <v>218</v>
      </c>
      <c r="E100" s="15"/>
      <c r="F100" s="15"/>
      <c r="G100" s="15"/>
      <c r="H100" s="15"/>
      <c r="I100" s="15">
        <v>1</v>
      </c>
      <c r="J100" s="15"/>
      <c r="K100" s="15"/>
      <c r="L100" s="15"/>
      <c r="M100" s="15"/>
      <c r="N100" s="15">
        <v>1</v>
      </c>
      <c r="O100" s="15">
        <v>40</v>
      </c>
      <c r="P100" s="62">
        <v>729.81</v>
      </c>
      <c r="Q100" s="62">
        <f>565.42+569.62</f>
        <v>1135.04</v>
      </c>
      <c r="R100" s="62">
        <v>100</v>
      </c>
      <c r="S100" s="89">
        <f aca="true" t="shared" si="5" ref="S100:S109">P100+Q100+R100</f>
        <v>1964.85</v>
      </c>
      <c r="T100" s="65"/>
      <c r="U100" s="65"/>
    </row>
    <row r="101" spans="2:21" ht="76.5">
      <c r="B101" s="57" t="s">
        <v>45</v>
      </c>
      <c r="C101" s="57" t="s">
        <v>6</v>
      </c>
      <c r="D101" s="57" t="s">
        <v>219</v>
      </c>
      <c r="E101" s="15"/>
      <c r="F101" s="15"/>
      <c r="G101" s="15"/>
      <c r="H101" s="15"/>
      <c r="I101" s="15"/>
      <c r="J101" s="15">
        <v>1</v>
      </c>
      <c r="K101" s="15"/>
      <c r="L101" s="15"/>
      <c r="M101" s="15"/>
      <c r="N101" s="15">
        <v>1</v>
      </c>
      <c r="O101" s="15">
        <v>32</v>
      </c>
      <c r="P101" s="62">
        <v>841.18</v>
      </c>
      <c r="Q101" s="62"/>
      <c r="R101" s="62">
        <v>1640</v>
      </c>
      <c r="S101" s="89">
        <f t="shared" si="5"/>
        <v>2481.18</v>
      </c>
      <c r="T101" s="65" t="s">
        <v>190</v>
      </c>
      <c r="U101" s="65"/>
    </row>
    <row r="102" spans="2:21" ht="38.25">
      <c r="B102" s="57" t="s">
        <v>33</v>
      </c>
      <c r="C102" s="57" t="s">
        <v>19</v>
      </c>
      <c r="D102" s="57" t="s">
        <v>220</v>
      </c>
      <c r="E102" s="15"/>
      <c r="F102" s="15"/>
      <c r="G102" s="15"/>
      <c r="H102" s="15"/>
      <c r="I102" s="15">
        <v>1</v>
      </c>
      <c r="J102" s="15"/>
      <c r="K102" s="15"/>
      <c r="L102" s="15"/>
      <c r="M102" s="15"/>
      <c r="N102" s="15">
        <v>1</v>
      </c>
      <c r="O102" s="15">
        <v>32</v>
      </c>
      <c r="P102" s="62">
        <v>515.3</v>
      </c>
      <c r="Q102" s="62">
        <f>108.62+158.62+210.42+108.62</f>
        <v>586.28</v>
      </c>
      <c r="R102" s="62"/>
      <c r="S102" s="89">
        <f t="shared" si="5"/>
        <v>1101.58</v>
      </c>
      <c r="T102" s="65"/>
      <c r="U102" s="65"/>
    </row>
    <row r="103" spans="2:21" ht="38.25">
      <c r="B103" s="57" t="s">
        <v>33</v>
      </c>
      <c r="C103" s="57" t="s">
        <v>19</v>
      </c>
      <c r="D103" s="57" t="s">
        <v>221</v>
      </c>
      <c r="E103" s="15"/>
      <c r="F103" s="15">
        <v>6</v>
      </c>
      <c r="G103" s="15"/>
      <c r="H103" s="15">
        <v>2</v>
      </c>
      <c r="I103" s="15"/>
      <c r="J103" s="15"/>
      <c r="K103" s="15"/>
      <c r="L103" s="15"/>
      <c r="M103" s="15"/>
      <c r="N103" s="15">
        <v>8</v>
      </c>
      <c r="O103" s="15">
        <v>24</v>
      </c>
      <c r="P103" s="62">
        <f>402.81+342.69+399.62+397.45+394.82+397.45+392.62+409.82</f>
        <v>3137.2799999999997</v>
      </c>
      <c r="Q103" s="62">
        <v>0</v>
      </c>
      <c r="R103" s="62">
        <v>0</v>
      </c>
      <c r="S103" s="89">
        <f t="shared" si="5"/>
        <v>3137.2799999999997</v>
      </c>
      <c r="T103" s="65"/>
      <c r="U103" s="65"/>
    </row>
    <row r="104" spans="2:21" ht="38.25">
      <c r="B104" s="57" t="s">
        <v>48</v>
      </c>
      <c r="C104" s="57" t="s">
        <v>19</v>
      </c>
      <c r="D104" s="57" t="s">
        <v>222</v>
      </c>
      <c r="E104" s="15"/>
      <c r="F104" s="15"/>
      <c r="G104" s="15"/>
      <c r="H104" s="15"/>
      <c r="I104" s="15"/>
      <c r="J104" s="15">
        <v>1</v>
      </c>
      <c r="K104" s="15"/>
      <c r="L104" s="15"/>
      <c r="M104" s="15"/>
      <c r="N104" s="15">
        <v>1</v>
      </c>
      <c r="O104" s="15">
        <v>40</v>
      </c>
      <c r="P104" s="62">
        <v>908.67</v>
      </c>
      <c r="Q104" s="62">
        <f>1004.62*2</f>
        <v>2009.24</v>
      </c>
      <c r="R104" s="62">
        <v>0</v>
      </c>
      <c r="S104" s="89">
        <f t="shared" si="5"/>
        <v>2917.91</v>
      </c>
      <c r="T104" s="65"/>
      <c r="U104" s="65"/>
    </row>
    <row r="105" spans="2:21" ht="38.25">
      <c r="B105" s="57" t="s">
        <v>33</v>
      </c>
      <c r="C105" s="57" t="s">
        <v>19</v>
      </c>
      <c r="D105" s="57" t="s">
        <v>223</v>
      </c>
      <c r="E105" s="15"/>
      <c r="F105" s="15">
        <v>2</v>
      </c>
      <c r="G105" s="15"/>
      <c r="H105" s="15"/>
      <c r="I105" s="15"/>
      <c r="J105" s="15"/>
      <c r="K105" s="15"/>
      <c r="L105" s="15"/>
      <c r="M105" s="15"/>
      <c r="N105" s="15">
        <v>2</v>
      </c>
      <c r="O105" s="15">
        <v>40</v>
      </c>
      <c r="P105" s="62">
        <f>1159.78+707.98</f>
        <v>1867.76</v>
      </c>
      <c r="Q105" s="62">
        <v>707.98</v>
      </c>
      <c r="R105" s="62"/>
      <c r="S105" s="89">
        <f t="shared" si="5"/>
        <v>2575.74</v>
      </c>
      <c r="T105" s="65"/>
      <c r="U105" s="65"/>
    </row>
    <row r="106" spans="2:21" ht="51">
      <c r="B106" s="57" t="s">
        <v>33</v>
      </c>
      <c r="C106" s="57" t="s">
        <v>19</v>
      </c>
      <c r="D106" s="57" t="s">
        <v>224</v>
      </c>
      <c r="E106" s="15"/>
      <c r="F106" s="15"/>
      <c r="G106" s="15"/>
      <c r="H106" s="15">
        <v>1</v>
      </c>
      <c r="I106" s="15"/>
      <c r="J106" s="15"/>
      <c r="K106" s="15"/>
      <c r="L106" s="15"/>
      <c r="M106" s="15"/>
      <c r="N106" s="15">
        <v>1</v>
      </c>
      <c r="O106" s="15">
        <v>30</v>
      </c>
      <c r="P106" s="62">
        <v>417.52</v>
      </c>
      <c r="Q106" s="62"/>
      <c r="R106" s="62"/>
      <c r="S106" s="89">
        <f t="shared" si="5"/>
        <v>417.52</v>
      </c>
      <c r="T106" s="65"/>
      <c r="U106" s="65"/>
    </row>
    <row r="107" spans="2:21" ht="51">
      <c r="B107" s="57" t="s">
        <v>33</v>
      </c>
      <c r="C107" s="57" t="s">
        <v>17</v>
      </c>
      <c r="D107" s="57" t="s">
        <v>225</v>
      </c>
      <c r="E107" s="15"/>
      <c r="F107" s="15"/>
      <c r="G107" s="15"/>
      <c r="H107" s="15">
        <v>1</v>
      </c>
      <c r="I107" s="15"/>
      <c r="J107" s="15"/>
      <c r="K107" s="15"/>
      <c r="L107" s="15"/>
      <c r="M107" s="15"/>
      <c r="N107" s="15">
        <v>1</v>
      </c>
      <c r="O107" s="15">
        <v>16</v>
      </c>
      <c r="P107" s="62">
        <v>457.55</v>
      </c>
      <c r="Q107" s="62"/>
      <c r="R107" s="62">
        <f>154.42+729.62+468.62+158.62</f>
        <v>1511.2799999999997</v>
      </c>
      <c r="S107" s="89">
        <f t="shared" si="5"/>
        <v>1968.8299999999997</v>
      </c>
      <c r="T107" s="65"/>
      <c r="U107" s="65"/>
    </row>
    <row r="108" spans="2:21" ht="38.25">
      <c r="B108" s="57" t="s">
        <v>33</v>
      </c>
      <c r="C108" s="57" t="s">
        <v>6</v>
      </c>
      <c r="D108" s="57" t="s">
        <v>226</v>
      </c>
      <c r="E108" s="15"/>
      <c r="F108" s="15"/>
      <c r="G108" s="15"/>
      <c r="H108" s="15"/>
      <c r="I108" s="15">
        <v>1</v>
      </c>
      <c r="J108" s="15"/>
      <c r="K108" s="15"/>
      <c r="L108" s="15"/>
      <c r="M108" s="15"/>
      <c r="N108" s="15">
        <v>1</v>
      </c>
      <c r="O108" s="15">
        <v>20</v>
      </c>
      <c r="P108" s="62">
        <v>582.88</v>
      </c>
      <c r="Q108" s="62">
        <f>204.42+158.62</f>
        <v>363.03999999999996</v>
      </c>
      <c r="R108" s="62">
        <v>0</v>
      </c>
      <c r="S108" s="89">
        <f t="shared" si="5"/>
        <v>945.92</v>
      </c>
      <c r="T108" s="65"/>
      <c r="U108" s="65"/>
    </row>
    <row r="109" spans="2:21" ht="63.75">
      <c r="B109" s="57" t="s">
        <v>33</v>
      </c>
      <c r="C109" s="57" t="s">
        <v>17</v>
      </c>
      <c r="D109" s="57" t="s">
        <v>227</v>
      </c>
      <c r="E109" s="15"/>
      <c r="F109" s="15">
        <v>2</v>
      </c>
      <c r="G109" s="15"/>
      <c r="H109" s="15"/>
      <c r="I109" s="15"/>
      <c r="J109" s="15"/>
      <c r="K109" s="15"/>
      <c r="L109" s="15"/>
      <c r="M109" s="15"/>
      <c r="N109" s="15">
        <v>2</v>
      </c>
      <c r="O109" s="15"/>
      <c r="P109" s="62">
        <f>289.02+288.78</f>
        <v>577.8</v>
      </c>
      <c r="Q109" s="62"/>
      <c r="R109" s="62"/>
      <c r="S109" s="89">
        <f t="shared" si="5"/>
        <v>577.8</v>
      </c>
      <c r="T109" s="65"/>
      <c r="U109" s="65"/>
    </row>
    <row r="110" spans="2:21" ht="51">
      <c r="B110" s="57" t="s">
        <v>33</v>
      </c>
      <c r="C110" s="57" t="s">
        <v>12</v>
      </c>
      <c r="D110" s="57" t="s">
        <v>228</v>
      </c>
      <c r="E110" s="15"/>
      <c r="F110" s="15"/>
      <c r="G110" s="15"/>
      <c r="H110" s="15"/>
      <c r="I110" s="15"/>
      <c r="J110" s="15">
        <v>1</v>
      </c>
      <c r="K110" s="15"/>
      <c r="L110" s="15"/>
      <c r="M110" s="15"/>
      <c r="N110" s="15">
        <v>1</v>
      </c>
      <c r="O110" s="15">
        <v>24</v>
      </c>
      <c r="P110" s="62">
        <v>407.94</v>
      </c>
      <c r="Q110" s="62"/>
      <c r="R110" s="62"/>
      <c r="S110" s="89">
        <f aca="true" t="shared" si="6" ref="S110:S126">P110+Q110+R110</f>
        <v>407.94</v>
      </c>
      <c r="T110" s="65"/>
      <c r="U110" s="65"/>
    </row>
    <row r="111" spans="2:21" ht="63.75">
      <c r="B111" s="57" t="s">
        <v>33</v>
      </c>
      <c r="C111" s="57" t="s">
        <v>12</v>
      </c>
      <c r="D111" s="57" t="s">
        <v>229</v>
      </c>
      <c r="E111" s="15"/>
      <c r="F111" s="15"/>
      <c r="G111" s="15"/>
      <c r="H111" s="15"/>
      <c r="I111" s="15"/>
      <c r="J111" s="15">
        <v>1</v>
      </c>
      <c r="K111" s="15">
        <v>1</v>
      </c>
      <c r="L111" s="15"/>
      <c r="M111" s="15"/>
      <c r="N111" s="15">
        <v>2</v>
      </c>
      <c r="O111" s="15">
        <v>20</v>
      </c>
      <c r="P111" s="62">
        <f>407.94+123.07</f>
        <v>531.01</v>
      </c>
      <c r="Q111" s="62">
        <f>235.42*2</f>
        <v>470.84</v>
      </c>
      <c r="R111" s="62"/>
      <c r="S111" s="89">
        <f t="shared" si="6"/>
        <v>1001.8499999999999</v>
      </c>
      <c r="T111" s="65"/>
      <c r="U111" s="65"/>
    </row>
    <row r="112" spans="2:21" ht="63.75">
      <c r="B112" s="57" t="s">
        <v>33</v>
      </c>
      <c r="C112" s="57" t="s">
        <v>6</v>
      </c>
      <c r="D112" s="57" t="s">
        <v>230</v>
      </c>
      <c r="E112" s="15">
        <v>1</v>
      </c>
      <c r="F112" s="15"/>
      <c r="G112" s="15"/>
      <c r="H112" s="15">
        <v>1</v>
      </c>
      <c r="I112" s="15"/>
      <c r="J112" s="15"/>
      <c r="K112" s="15"/>
      <c r="L112" s="15"/>
      <c r="M112" s="15"/>
      <c r="N112" s="15">
        <v>2</v>
      </c>
      <c r="O112" s="15">
        <v>20</v>
      </c>
      <c r="P112" s="62">
        <f>353.12+356.52</f>
        <v>709.64</v>
      </c>
      <c r="Q112" s="62">
        <f>(164.42+168.62)*3</f>
        <v>999.1199999999999</v>
      </c>
      <c r="R112" s="62"/>
      <c r="S112" s="89">
        <f t="shared" si="6"/>
        <v>1708.7599999999998</v>
      </c>
      <c r="T112" s="65"/>
      <c r="U112" s="65"/>
    </row>
    <row r="113" spans="2:21" ht="102">
      <c r="B113" s="57" t="s">
        <v>33</v>
      </c>
      <c r="C113" s="57" t="s">
        <v>4</v>
      </c>
      <c r="D113" s="57" t="s">
        <v>231</v>
      </c>
      <c r="E113" s="15"/>
      <c r="F113" s="15"/>
      <c r="G113" s="15"/>
      <c r="H113" s="15">
        <v>1</v>
      </c>
      <c r="I113" s="15"/>
      <c r="J113" s="15"/>
      <c r="K113" s="15"/>
      <c r="L113" s="15"/>
      <c r="M113" s="15"/>
      <c r="N113" s="15">
        <v>1</v>
      </c>
      <c r="O113" s="15">
        <v>20</v>
      </c>
      <c r="P113" s="62">
        <v>358.18</v>
      </c>
      <c r="Q113" s="62"/>
      <c r="R113" s="62">
        <v>200</v>
      </c>
      <c r="S113" s="89">
        <f t="shared" si="6"/>
        <v>558.1800000000001</v>
      </c>
      <c r="T113" s="65"/>
      <c r="U113" s="65"/>
    </row>
    <row r="114" spans="2:21" ht="51">
      <c r="B114" s="57" t="s">
        <v>33</v>
      </c>
      <c r="C114" s="57" t="s">
        <v>19</v>
      </c>
      <c r="D114" s="57" t="s">
        <v>232</v>
      </c>
      <c r="E114" s="15">
        <v>1</v>
      </c>
      <c r="F114" s="15"/>
      <c r="G114" s="15"/>
      <c r="H114" s="15"/>
      <c r="I114" s="15"/>
      <c r="J114" s="15"/>
      <c r="K114" s="15"/>
      <c r="L114" s="15"/>
      <c r="M114" s="15"/>
      <c r="N114" s="15">
        <v>1</v>
      </c>
      <c r="O114" s="15">
        <v>40</v>
      </c>
      <c r="P114" s="62">
        <v>692.7</v>
      </c>
      <c r="Q114" s="62"/>
      <c r="R114" s="62"/>
      <c r="S114" s="89">
        <f t="shared" si="6"/>
        <v>692.7</v>
      </c>
      <c r="T114" s="65"/>
      <c r="U114" s="65"/>
    </row>
    <row r="115" spans="2:21" ht="51">
      <c r="B115" s="57" t="s">
        <v>33</v>
      </c>
      <c r="C115" s="57" t="s">
        <v>40</v>
      </c>
      <c r="D115" s="57" t="s">
        <v>233</v>
      </c>
      <c r="E115" s="15">
        <v>1</v>
      </c>
      <c r="F115" s="15"/>
      <c r="G115" s="15"/>
      <c r="H115" s="15"/>
      <c r="I115" s="15"/>
      <c r="J115" s="15"/>
      <c r="K115" s="15"/>
      <c r="L115" s="15"/>
      <c r="M115" s="15"/>
      <c r="N115" s="15">
        <v>1</v>
      </c>
      <c r="O115" s="15">
        <v>30</v>
      </c>
      <c r="P115" s="62">
        <v>521.95</v>
      </c>
      <c r="Q115" s="62"/>
      <c r="R115" s="62"/>
      <c r="S115" s="89">
        <f t="shared" si="6"/>
        <v>521.95</v>
      </c>
      <c r="T115" s="65"/>
      <c r="U115" s="65"/>
    </row>
    <row r="116" spans="2:21" ht="76.5">
      <c r="B116" s="57" t="s">
        <v>39</v>
      </c>
      <c r="C116" s="57" t="s">
        <v>19</v>
      </c>
      <c r="D116" s="57" t="s">
        <v>234</v>
      </c>
      <c r="E116" s="15"/>
      <c r="F116" s="15"/>
      <c r="G116" s="15"/>
      <c r="H116" s="15">
        <v>1</v>
      </c>
      <c r="I116" s="15">
        <v>1</v>
      </c>
      <c r="J116" s="15"/>
      <c r="K116" s="15"/>
      <c r="L116" s="15"/>
      <c r="M116" s="15"/>
      <c r="N116" s="15">
        <v>2</v>
      </c>
      <c r="O116" s="15">
        <v>24</v>
      </c>
      <c r="P116" s="62">
        <f>735.86+618.32</f>
        <v>1354.18</v>
      </c>
      <c r="Q116" s="62">
        <f>414.42+388.62+158.62+414.42+388.62+158.62</f>
        <v>1923.3199999999997</v>
      </c>
      <c r="R116" s="62"/>
      <c r="S116" s="89">
        <f t="shared" si="6"/>
        <v>3277.5</v>
      </c>
      <c r="T116" s="65"/>
      <c r="U116" s="65"/>
    </row>
    <row r="117" spans="2:21" ht="38.25">
      <c r="B117" s="57" t="s">
        <v>33</v>
      </c>
      <c r="C117" s="57" t="s">
        <v>19</v>
      </c>
      <c r="D117" s="57" t="s">
        <v>235</v>
      </c>
      <c r="E117" s="15"/>
      <c r="F117" s="15"/>
      <c r="G117" s="15"/>
      <c r="H117" s="15">
        <v>1</v>
      </c>
      <c r="I117" s="15"/>
      <c r="J117" s="15"/>
      <c r="K117" s="15"/>
      <c r="L117" s="15"/>
      <c r="M117" s="15"/>
      <c r="N117" s="15">
        <v>1</v>
      </c>
      <c r="O117" s="15">
        <v>24</v>
      </c>
      <c r="P117" s="62">
        <v>564.28</v>
      </c>
      <c r="Q117" s="62">
        <f>645.42+649.62</f>
        <v>1295.04</v>
      </c>
      <c r="R117" s="62"/>
      <c r="S117" s="89">
        <f t="shared" si="6"/>
        <v>1859.32</v>
      </c>
      <c r="T117" s="65"/>
      <c r="U117" s="65"/>
    </row>
    <row r="118" spans="2:21" ht="114.75">
      <c r="B118" s="57" t="s">
        <v>49</v>
      </c>
      <c r="C118" s="57" t="s">
        <v>6</v>
      </c>
      <c r="D118" s="57" t="s">
        <v>236</v>
      </c>
      <c r="E118" s="15"/>
      <c r="F118" s="15"/>
      <c r="G118" s="15"/>
      <c r="H118" s="15">
        <v>1</v>
      </c>
      <c r="I118" s="15">
        <v>1</v>
      </c>
      <c r="J118" s="15"/>
      <c r="K118" s="15"/>
      <c r="L118" s="15"/>
      <c r="M118" s="15"/>
      <c r="N118" s="15">
        <v>2</v>
      </c>
      <c r="O118" s="15">
        <v>40</v>
      </c>
      <c r="P118" s="62">
        <f>692.73*2</f>
        <v>1385.46</v>
      </c>
      <c r="Q118" s="62">
        <f>(1160.42+198.62)*2</f>
        <v>2718.08</v>
      </c>
      <c r="R118" s="62"/>
      <c r="S118" s="89">
        <f t="shared" si="6"/>
        <v>4103.54</v>
      </c>
      <c r="T118" s="65"/>
      <c r="U118" s="65"/>
    </row>
    <row r="119" spans="2:21" ht="76.5">
      <c r="B119" s="57" t="s">
        <v>33</v>
      </c>
      <c r="C119" s="57" t="s">
        <v>6</v>
      </c>
      <c r="D119" s="57" t="s">
        <v>237</v>
      </c>
      <c r="E119" s="15"/>
      <c r="F119" s="15"/>
      <c r="G119" s="15"/>
      <c r="H119" s="15">
        <v>1</v>
      </c>
      <c r="I119" s="15"/>
      <c r="J119" s="15"/>
      <c r="K119" s="15"/>
      <c r="L119" s="15"/>
      <c r="M119" s="15"/>
      <c r="N119" s="15">
        <v>1</v>
      </c>
      <c r="O119" s="15">
        <v>16</v>
      </c>
      <c r="P119" s="62">
        <v>355.71</v>
      </c>
      <c r="Q119" s="62">
        <f>210.42+214.62</f>
        <v>425.03999999999996</v>
      </c>
      <c r="R119" s="62"/>
      <c r="S119" s="89">
        <f t="shared" si="6"/>
        <v>780.75</v>
      </c>
      <c r="T119" s="65"/>
      <c r="U119" s="65"/>
    </row>
    <row r="120" spans="2:21" ht="51">
      <c r="B120" s="57" t="s">
        <v>239</v>
      </c>
      <c r="C120" s="57" t="s">
        <v>6</v>
      </c>
      <c r="D120" s="57" t="s">
        <v>240</v>
      </c>
      <c r="E120" s="15"/>
      <c r="F120" s="15"/>
      <c r="G120" s="15"/>
      <c r="H120" s="15">
        <v>1</v>
      </c>
      <c r="I120" s="15"/>
      <c r="J120" s="15"/>
      <c r="K120" s="15"/>
      <c r="L120" s="15"/>
      <c r="M120" s="15"/>
      <c r="N120" s="15">
        <v>1</v>
      </c>
      <c r="O120" s="15"/>
      <c r="P120" s="62">
        <v>684.17</v>
      </c>
      <c r="Q120" s="62"/>
      <c r="R120" s="62"/>
      <c r="S120" s="89">
        <f t="shared" si="6"/>
        <v>684.17</v>
      </c>
      <c r="T120" s="65"/>
      <c r="U120" s="65"/>
    </row>
    <row r="121" spans="2:21" ht="63.75">
      <c r="B121" s="57" t="s">
        <v>33</v>
      </c>
      <c r="C121" s="57" t="s">
        <v>12</v>
      </c>
      <c r="D121" s="57" t="s">
        <v>238</v>
      </c>
      <c r="E121" s="15">
        <v>1</v>
      </c>
      <c r="F121" s="15"/>
      <c r="G121" s="15"/>
      <c r="H121" s="15"/>
      <c r="I121" s="15"/>
      <c r="J121" s="15"/>
      <c r="K121" s="15"/>
      <c r="L121" s="15"/>
      <c r="M121" s="15"/>
      <c r="N121" s="15">
        <v>1</v>
      </c>
      <c r="O121" s="15">
        <v>8</v>
      </c>
      <c r="P121" s="62">
        <v>228.42</v>
      </c>
      <c r="Q121" s="62">
        <f>122.92+123.12</f>
        <v>246.04000000000002</v>
      </c>
      <c r="R121" s="62"/>
      <c r="S121" s="89">
        <f t="shared" si="6"/>
        <v>474.46000000000004</v>
      </c>
      <c r="T121" s="65"/>
      <c r="U121" s="65"/>
    </row>
    <row r="122" spans="2:21" ht="38.25">
      <c r="B122" s="57" t="s">
        <v>33</v>
      </c>
      <c r="C122" s="57" t="s">
        <v>6</v>
      </c>
      <c r="D122" s="57" t="s">
        <v>241</v>
      </c>
      <c r="E122" s="15">
        <v>1</v>
      </c>
      <c r="F122" s="15"/>
      <c r="G122" s="15"/>
      <c r="H122" s="15"/>
      <c r="I122" s="15"/>
      <c r="J122" s="15"/>
      <c r="K122" s="15"/>
      <c r="L122" s="15"/>
      <c r="M122" s="15"/>
      <c r="N122" s="15">
        <v>1</v>
      </c>
      <c r="O122" s="15">
        <v>24</v>
      </c>
      <c r="P122" s="62">
        <v>463.82</v>
      </c>
      <c r="Q122" s="62"/>
      <c r="R122" s="62"/>
      <c r="S122" s="89">
        <f t="shared" si="6"/>
        <v>463.82</v>
      </c>
      <c r="T122" s="65"/>
      <c r="U122" s="65"/>
    </row>
    <row r="123" spans="2:21" ht="63.75">
      <c r="B123" s="57" t="s">
        <v>33</v>
      </c>
      <c r="C123" s="57" t="s">
        <v>6</v>
      </c>
      <c r="D123" s="57" t="s">
        <v>242</v>
      </c>
      <c r="E123" s="15">
        <v>1</v>
      </c>
      <c r="F123" s="15"/>
      <c r="G123" s="15"/>
      <c r="H123" s="15"/>
      <c r="I123" s="15"/>
      <c r="J123" s="15"/>
      <c r="K123" s="15"/>
      <c r="L123" s="15"/>
      <c r="M123" s="15"/>
      <c r="N123" s="15">
        <v>1</v>
      </c>
      <c r="O123" s="15">
        <v>24</v>
      </c>
      <c r="P123" s="62">
        <v>486.34</v>
      </c>
      <c r="Q123" s="62"/>
      <c r="R123" s="62"/>
      <c r="S123" s="89">
        <f t="shared" si="6"/>
        <v>486.34</v>
      </c>
      <c r="T123" s="65"/>
      <c r="U123" s="65"/>
    </row>
    <row r="124" spans="2:21" ht="76.5">
      <c r="B124" s="57" t="s">
        <v>33</v>
      </c>
      <c r="C124" s="57" t="s">
        <v>19</v>
      </c>
      <c r="D124" s="57" t="s">
        <v>245</v>
      </c>
      <c r="E124" s="15"/>
      <c r="F124" s="15"/>
      <c r="G124" s="15"/>
      <c r="H124" s="15">
        <v>1</v>
      </c>
      <c r="I124" s="15"/>
      <c r="J124" s="15"/>
      <c r="K124" s="15"/>
      <c r="L124" s="15"/>
      <c r="M124" s="15"/>
      <c r="N124" s="15">
        <v>1</v>
      </c>
      <c r="O124" s="15">
        <v>24</v>
      </c>
      <c r="P124" s="62">
        <v>612.27</v>
      </c>
      <c r="Q124" s="62">
        <v>413.04</v>
      </c>
      <c r="R124" s="62"/>
      <c r="S124" s="89">
        <f t="shared" si="6"/>
        <v>1025.31</v>
      </c>
      <c r="T124" s="65"/>
      <c r="U124" s="65"/>
    </row>
    <row r="125" spans="2:21" ht="51">
      <c r="B125" s="57" t="s">
        <v>88</v>
      </c>
      <c r="C125" s="57" t="s">
        <v>19</v>
      </c>
      <c r="D125" s="57" t="s">
        <v>246</v>
      </c>
      <c r="E125" s="15"/>
      <c r="F125" s="15"/>
      <c r="G125" s="15"/>
      <c r="H125" s="15">
        <v>1</v>
      </c>
      <c r="I125" s="15"/>
      <c r="J125" s="15"/>
      <c r="K125" s="15"/>
      <c r="L125" s="15"/>
      <c r="M125" s="15"/>
      <c r="N125" s="15">
        <v>1</v>
      </c>
      <c r="O125" s="15">
        <v>16</v>
      </c>
      <c r="P125" s="62">
        <v>579.17</v>
      </c>
      <c r="Q125" s="62">
        <f>444.42+218.62</f>
        <v>663.04</v>
      </c>
      <c r="R125" s="62"/>
      <c r="S125" s="89">
        <f t="shared" si="6"/>
        <v>1242.21</v>
      </c>
      <c r="T125" s="65"/>
      <c r="U125" s="65"/>
    </row>
    <row r="126" spans="2:21" ht="51">
      <c r="B126" s="57" t="s">
        <v>34</v>
      </c>
      <c r="C126" s="57" t="s">
        <v>40</v>
      </c>
      <c r="D126" s="57" t="s">
        <v>247</v>
      </c>
      <c r="E126" s="15"/>
      <c r="F126" s="15"/>
      <c r="G126" s="15"/>
      <c r="H126" s="15"/>
      <c r="I126" s="15"/>
      <c r="J126" s="15">
        <v>1</v>
      </c>
      <c r="K126" s="15"/>
      <c r="L126" s="15"/>
      <c r="M126" s="15"/>
      <c r="N126" s="15">
        <v>1</v>
      </c>
      <c r="O126" s="15">
        <v>24</v>
      </c>
      <c r="P126" s="62">
        <v>466.48</v>
      </c>
      <c r="Q126" s="62"/>
      <c r="R126" s="62"/>
      <c r="S126" s="89">
        <f t="shared" si="6"/>
        <v>466.48</v>
      </c>
      <c r="T126" s="65"/>
      <c r="U126" s="65"/>
    </row>
    <row r="127" spans="2:21" ht="15.75">
      <c r="B127" s="57"/>
      <c r="C127" s="57"/>
      <c r="D127" s="5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62"/>
      <c r="Q127" s="62"/>
      <c r="R127" s="62"/>
      <c r="S127" s="89"/>
      <c r="T127" s="65"/>
      <c r="U127" s="65"/>
    </row>
    <row r="128" spans="2:19" ht="15.75">
      <c r="B128" s="63"/>
      <c r="C128" s="57"/>
      <c r="D128" s="57"/>
      <c r="E128" s="15">
        <f>SUM(E14:E123)</f>
        <v>72</v>
      </c>
      <c r="F128" s="15">
        <f>SUM(F14:F123)</f>
        <v>36</v>
      </c>
      <c r="G128" s="15"/>
      <c r="H128" s="15">
        <f>SUM(H14:H123)</f>
        <v>84</v>
      </c>
      <c r="I128" s="15">
        <f>SUM(I14:I123)</f>
        <v>17</v>
      </c>
      <c r="J128" s="15">
        <f>SUM(J14:J123)</f>
        <v>16</v>
      </c>
      <c r="K128" s="15">
        <f>SUM(K14:K123)</f>
        <v>3</v>
      </c>
      <c r="L128" s="15">
        <f>SUM(L14:L123)</f>
        <v>1</v>
      </c>
      <c r="M128" s="15"/>
      <c r="N128" s="15">
        <f>SUM(N14:N126)</f>
        <v>232</v>
      </c>
      <c r="O128" s="15"/>
      <c r="P128" s="62">
        <f>SUM(P14:P127)</f>
        <v>117328.215</v>
      </c>
      <c r="Q128" s="62">
        <f>SUM(Q14:Q127)</f>
        <v>103861.94999999995</v>
      </c>
      <c r="R128" s="62">
        <f>SUM(R14:R127)</f>
        <v>35950.979999999996</v>
      </c>
      <c r="S128" s="64">
        <f>SUM(S14:S127)</f>
        <v>257141.14500000008</v>
      </c>
    </row>
    <row r="129" spans="2:19" ht="16.5" thickBot="1">
      <c r="B129" s="93" t="s">
        <v>112</v>
      </c>
      <c r="C129" s="94"/>
      <c r="D129" s="95"/>
      <c r="E129" s="56"/>
      <c r="F129" s="56"/>
      <c r="G129" s="56"/>
      <c r="H129" s="56"/>
      <c r="I129" s="56"/>
      <c r="J129" s="56"/>
      <c r="K129" s="56"/>
      <c r="L129" s="56"/>
      <c r="M129" s="56"/>
      <c r="N129" s="58">
        <f>E129+O129+O129+O129+O129+O129+O129+O129</f>
        <v>0</v>
      </c>
      <c r="O129" s="59"/>
      <c r="P129" s="60"/>
      <c r="Q129" s="60"/>
      <c r="R129" s="60"/>
      <c r="S129" s="61">
        <f>SUM(S128)</f>
        <v>257141.14500000008</v>
      </c>
    </row>
    <row r="130" spans="2:19" ht="12.75">
      <c r="B130" s="2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>
        <f>SUM(N129)</f>
        <v>0</v>
      </c>
      <c r="O130" s="65"/>
      <c r="P130" s="66"/>
      <c r="Q130" s="67"/>
      <c r="R130" s="67"/>
      <c r="S130" s="68"/>
    </row>
    <row r="131" spans="2:19" ht="15.75">
      <c r="B131" s="1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</row>
    <row r="132" spans="2:19" ht="12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</row>
    <row r="133" spans="2:19" ht="12.75" hidden="1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</row>
    <row r="134" spans="2:19" ht="25.5" hidden="1">
      <c r="B134" s="12" t="s">
        <v>42</v>
      </c>
      <c r="C134" s="65"/>
      <c r="D134" s="65"/>
      <c r="E134" s="19" t="s">
        <v>41</v>
      </c>
      <c r="F134" s="49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</row>
    <row r="135" spans="2:19" ht="57" hidden="1">
      <c r="B135" s="13" t="s">
        <v>31</v>
      </c>
      <c r="C135" s="65"/>
      <c r="D135" s="65"/>
      <c r="E135" s="6" t="s">
        <v>1</v>
      </c>
      <c r="F135" s="50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</row>
    <row r="136" spans="2:19" ht="57" hidden="1">
      <c r="B136" s="14" t="s">
        <v>26</v>
      </c>
      <c r="C136" s="65"/>
      <c r="D136" s="65"/>
      <c r="E136" s="6" t="s">
        <v>2</v>
      </c>
      <c r="F136" s="50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</row>
    <row r="137" spans="2:19" ht="42.75" hidden="1">
      <c r="B137" s="13" t="s">
        <v>46</v>
      </c>
      <c r="C137" s="65"/>
      <c r="D137" s="65"/>
      <c r="E137" s="6" t="s">
        <v>3</v>
      </c>
      <c r="F137" s="50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</row>
    <row r="138" spans="2:19" ht="27" customHeight="1" hidden="1">
      <c r="B138" s="13" t="s">
        <v>47</v>
      </c>
      <c r="C138" s="65"/>
      <c r="D138" s="65"/>
      <c r="E138" s="6" t="s">
        <v>4</v>
      </c>
      <c r="F138" s="50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</row>
    <row r="139" spans="2:19" ht="42.75" hidden="1">
      <c r="B139" s="13" t="s">
        <v>32</v>
      </c>
      <c r="C139" s="65"/>
      <c r="D139" s="65"/>
      <c r="E139" s="6" t="s">
        <v>5</v>
      </c>
      <c r="F139" s="50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</row>
    <row r="140" spans="2:19" ht="71.25" hidden="1">
      <c r="B140" s="13" t="s">
        <v>30</v>
      </c>
      <c r="C140" s="65"/>
      <c r="D140" s="65"/>
      <c r="E140" s="6" t="s">
        <v>22</v>
      </c>
      <c r="F140" s="50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</row>
    <row r="141" spans="2:19" ht="28.5" hidden="1">
      <c r="B141" s="13" t="s">
        <v>88</v>
      </c>
      <c r="C141" s="65"/>
      <c r="D141" s="65"/>
      <c r="E141" s="6" t="s">
        <v>6</v>
      </c>
      <c r="F141" s="50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</row>
    <row r="142" spans="2:19" ht="14.25" hidden="1">
      <c r="B142" s="13" t="s">
        <v>50</v>
      </c>
      <c r="C142" s="65"/>
      <c r="D142" s="65"/>
      <c r="E142" s="6" t="s">
        <v>7</v>
      </c>
      <c r="F142" s="50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</row>
    <row r="143" spans="2:19" ht="42.75" hidden="1">
      <c r="B143" s="13" t="s">
        <v>49</v>
      </c>
      <c r="C143" s="65"/>
      <c r="D143" s="65"/>
      <c r="E143" s="6" t="s">
        <v>23</v>
      </c>
      <c r="F143" s="50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</row>
    <row r="144" spans="2:19" ht="28.5" hidden="1">
      <c r="B144" s="13" t="s">
        <v>33</v>
      </c>
      <c r="C144" s="65"/>
      <c r="D144" s="65"/>
      <c r="E144" s="6" t="s">
        <v>8</v>
      </c>
      <c r="F144" s="50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</row>
    <row r="145" spans="2:19" ht="28.5" hidden="1">
      <c r="B145" s="13" t="s">
        <v>45</v>
      </c>
      <c r="C145" s="65"/>
      <c r="D145" s="65"/>
      <c r="E145" s="6" t="s">
        <v>9</v>
      </c>
      <c r="F145" s="50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</row>
    <row r="146" spans="2:19" ht="14.25" customHeight="1" hidden="1">
      <c r="B146" s="13" t="s">
        <v>48</v>
      </c>
      <c r="C146" s="65"/>
      <c r="D146" s="65"/>
      <c r="E146" s="6" t="s">
        <v>10</v>
      </c>
      <c r="F146" s="50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</row>
    <row r="147" spans="2:19" ht="14.25" hidden="1">
      <c r="B147" s="13" t="s">
        <v>39</v>
      </c>
      <c r="C147" s="65"/>
      <c r="D147" s="65"/>
      <c r="E147" s="6" t="s">
        <v>11</v>
      </c>
      <c r="F147" s="50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</row>
    <row r="148" spans="2:19" ht="74.25" customHeight="1" hidden="1">
      <c r="B148" s="13" t="s">
        <v>52</v>
      </c>
      <c r="C148" s="65"/>
      <c r="D148" s="65"/>
      <c r="E148" s="6" t="s">
        <v>20</v>
      </c>
      <c r="F148" s="50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</row>
    <row r="149" spans="2:19" ht="99.75" hidden="1">
      <c r="B149" s="13" t="s">
        <v>76</v>
      </c>
      <c r="C149" s="65"/>
      <c r="D149" s="65"/>
      <c r="E149" s="6" t="s">
        <v>12</v>
      </c>
      <c r="F149" s="50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</row>
    <row r="150" spans="2:19" ht="42.75" hidden="1">
      <c r="B150" s="13" t="s">
        <v>28</v>
      </c>
      <c r="C150" s="65"/>
      <c r="D150" s="65"/>
      <c r="E150" s="6" t="s">
        <v>13</v>
      </c>
      <c r="F150" s="50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</row>
    <row r="151" spans="2:19" ht="44.25" customHeight="1" hidden="1">
      <c r="B151" s="13" t="s">
        <v>29</v>
      </c>
      <c r="C151" s="65"/>
      <c r="D151" s="65"/>
      <c r="E151" s="6" t="s">
        <v>14</v>
      </c>
      <c r="F151" s="50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</row>
    <row r="152" spans="2:19" ht="57" hidden="1">
      <c r="B152" s="13" t="s">
        <v>27</v>
      </c>
      <c r="C152" s="65"/>
      <c r="D152" s="65"/>
      <c r="E152" s="6" t="s">
        <v>21</v>
      </c>
      <c r="F152" s="50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</row>
    <row r="153" spans="2:19" ht="16.5" customHeight="1" hidden="1">
      <c r="B153" s="13" t="s">
        <v>24</v>
      </c>
      <c r="C153" s="65"/>
      <c r="D153" s="65"/>
      <c r="E153" s="6" t="s">
        <v>98</v>
      </c>
      <c r="F153" s="50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</row>
    <row r="154" spans="2:19" ht="85.5" hidden="1">
      <c r="B154" s="13" t="s">
        <v>34</v>
      </c>
      <c r="C154" s="65"/>
      <c r="D154" s="65"/>
      <c r="E154" s="6" t="s">
        <v>99</v>
      </c>
      <c r="F154" s="50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</row>
    <row r="155" spans="2:19" ht="85.5" hidden="1">
      <c r="B155" s="13" t="s">
        <v>35</v>
      </c>
      <c r="C155" s="65"/>
      <c r="D155" s="65"/>
      <c r="E155" s="6" t="s">
        <v>18</v>
      </c>
      <c r="F155" s="50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</row>
    <row r="156" spans="2:19" ht="85.5" hidden="1">
      <c r="B156" s="13" t="s">
        <v>25</v>
      </c>
      <c r="C156" s="65"/>
      <c r="D156" s="65"/>
      <c r="E156" s="6" t="s">
        <v>19</v>
      </c>
      <c r="F156" s="50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</row>
    <row r="157" spans="2:19" ht="28.5" hidden="1">
      <c r="B157" s="13" t="s">
        <v>36</v>
      </c>
      <c r="C157" s="65"/>
      <c r="D157" s="65"/>
      <c r="E157" s="6" t="s">
        <v>15</v>
      </c>
      <c r="F157" s="50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</row>
    <row r="158" spans="2:19" ht="57" hidden="1">
      <c r="B158" s="13" t="s">
        <v>64</v>
      </c>
      <c r="C158" s="65"/>
      <c r="D158" s="65"/>
      <c r="E158" s="6" t="s">
        <v>16</v>
      </c>
      <c r="F158" s="50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</row>
    <row r="159" spans="2:19" ht="14.25" hidden="1">
      <c r="B159" s="13" t="s">
        <v>37</v>
      </c>
      <c r="C159" s="65"/>
      <c r="D159" s="65"/>
      <c r="E159" s="6" t="s">
        <v>17</v>
      </c>
      <c r="F159" s="50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</row>
    <row r="160" spans="2:19" ht="14.25" hidden="1">
      <c r="B160" s="13" t="s">
        <v>51</v>
      </c>
      <c r="C160" s="65"/>
      <c r="D160" s="65"/>
      <c r="E160" s="20" t="s">
        <v>43</v>
      </c>
      <c r="F160" s="51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</row>
    <row r="161" spans="2:19" ht="28.5" hidden="1">
      <c r="B161" s="13" t="s">
        <v>78</v>
      </c>
      <c r="C161" s="65"/>
      <c r="D161" s="65"/>
      <c r="E161" s="6" t="s">
        <v>40</v>
      </c>
      <c r="F161" s="50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</row>
    <row r="162" spans="2:19" ht="28.5" hidden="1">
      <c r="B162" s="14" t="s">
        <v>80</v>
      </c>
      <c r="C162" s="65"/>
      <c r="D162" s="65"/>
      <c r="E162" s="6"/>
      <c r="F162" s="50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</row>
    <row r="163" spans="2:19" ht="14.25" hidden="1">
      <c r="B163" s="14" t="s">
        <v>92</v>
      </c>
      <c r="C163" s="65"/>
      <c r="D163" s="65"/>
      <c r="E163" s="6"/>
      <c r="F163" s="50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</row>
    <row r="164" spans="2:19" ht="12.75" hidden="1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</row>
    <row r="165" spans="2:19" ht="14.25">
      <c r="B165" s="5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7"/>
      <c r="Q165" s="65"/>
      <c r="R165" s="65"/>
      <c r="S165" s="65"/>
    </row>
  </sheetData>
  <sheetProtection/>
  <mergeCells count="15">
    <mergeCell ref="B1:S1"/>
    <mergeCell ref="B7:S7"/>
    <mergeCell ref="S12:S13"/>
    <mergeCell ref="G12:M12"/>
    <mergeCell ref="O12:O13"/>
    <mergeCell ref="D12:D13"/>
    <mergeCell ref="B12:B13"/>
    <mergeCell ref="C12:C13"/>
    <mergeCell ref="N12:N13"/>
    <mergeCell ref="E12:E13"/>
    <mergeCell ref="A12:A13"/>
    <mergeCell ref="D2:M2"/>
    <mergeCell ref="D4:G4"/>
    <mergeCell ref="B129:D129"/>
    <mergeCell ref="F12:F13"/>
  </mergeCells>
  <dataValidations count="2">
    <dataValidation type="list" allowBlank="1" showInputMessage="1" showErrorMessage="1" sqref="E134:F134 C14:C128">
      <formula1>$E$134:$E$163</formula1>
    </dataValidation>
    <dataValidation type="list" allowBlank="1" showInputMessage="1" showErrorMessage="1" sqref="B19:B37 B14:B17">
      <formula1>$B$134:$B$163</formula1>
    </dataValidation>
  </dataValidations>
  <hyperlinks>
    <hyperlink ref="M5" r:id="rId1" display="luzia.coelho@univasf.edu.br"/>
  </hyperlinks>
  <printOptions horizontalCentered="1"/>
  <pageMargins left="0.3937007874015748" right="0.3937007874015748" top="0.5905511811023623" bottom="0.5905511811023623" header="0" footer="0.5118110236220472"/>
  <pageSetup horizontalDpi="300" verticalDpi="3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E33"/>
  <sheetViews>
    <sheetView zoomScalePageLayoutView="0" workbookViewId="0" topLeftCell="A19">
      <selection activeCell="B21" sqref="B21"/>
    </sheetView>
  </sheetViews>
  <sheetFormatPr defaultColWidth="9.140625" defaultRowHeight="12.75"/>
  <cols>
    <col min="1" max="1" width="4.00390625" style="3" customWidth="1"/>
    <col min="2" max="2" width="48.57421875" style="3" customWidth="1"/>
    <col min="3" max="3" width="76.8515625" style="42" customWidth="1"/>
    <col min="4" max="16384" width="9.140625" style="3" customWidth="1"/>
  </cols>
  <sheetData>
    <row r="1" spans="2:5" ht="14.25">
      <c r="B1" s="4" t="s">
        <v>42</v>
      </c>
      <c r="C1" s="39" t="s">
        <v>73</v>
      </c>
      <c r="D1" s="5"/>
      <c r="E1" s="5"/>
    </row>
    <row r="2" spans="1:5" ht="71.25">
      <c r="A2" s="13">
        <v>1</v>
      </c>
      <c r="B2" s="13" t="s">
        <v>31</v>
      </c>
      <c r="C2" s="40" t="s">
        <v>74</v>
      </c>
      <c r="D2" s="5"/>
      <c r="E2" s="5"/>
    </row>
    <row r="3" spans="1:5" ht="28.5">
      <c r="A3" s="13">
        <v>2</v>
      </c>
      <c r="B3" s="14" t="s">
        <v>26</v>
      </c>
      <c r="C3" s="40" t="s">
        <v>84</v>
      </c>
      <c r="D3" s="5"/>
      <c r="E3" s="5"/>
    </row>
    <row r="4" spans="1:5" ht="28.5">
      <c r="A4" s="13">
        <v>3</v>
      </c>
      <c r="B4" s="13" t="s">
        <v>46</v>
      </c>
      <c r="C4" s="40" t="s">
        <v>53</v>
      </c>
      <c r="D4" s="5"/>
      <c r="E4" s="5"/>
    </row>
    <row r="5" spans="1:5" ht="28.5">
      <c r="A5" s="13">
        <v>4</v>
      </c>
      <c r="B5" s="13" t="s">
        <v>47</v>
      </c>
      <c r="C5" s="40" t="s">
        <v>54</v>
      </c>
      <c r="D5" s="5"/>
      <c r="E5" s="5"/>
    </row>
    <row r="6" spans="1:5" ht="28.5">
      <c r="A6" s="13">
        <v>5</v>
      </c>
      <c r="B6" s="13" t="s">
        <v>32</v>
      </c>
      <c r="C6" s="40" t="s">
        <v>91</v>
      </c>
      <c r="D6" s="5"/>
      <c r="E6" s="5"/>
    </row>
    <row r="7" spans="1:5" ht="28.5">
      <c r="A7" s="13">
        <v>6</v>
      </c>
      <c r="B7" s="13" t="s">
        <v>30</v>
      </c>
      <c r="C7" s="40" t="s">
        <v>55</v>
      </c>
      <c r="D7" s="5"/>
      <c r="E7" s="5"/>
    </row>
    <row r="8" spans="1:5" ht="28.5">
      <c r="A8" s="13">
        <v>7</v>
      </c>
      <c r="B8" s="13" t="s">
        <v>88</v>
      </c>
      <c r="C8" s="40" t="s">
        <v>89</v>
      </c>
      <c r="D8" s="5"/>
      <c r="E8" s="5"/>
    </row>
    <row r="9" spans="1:5" ht="60" customHeight="1">
      <c r="A9" s="13">
        <v>8</v>
      </c>
      <c r="B9" s="13" t="s">
        <v>50</v>
      </c>
      <c r="C9" s="40" t="s">
        <v>56</v>
      </c>
      <c r="D9" s="5"/>
      <c r="E9" s="5"/>
    </row>
    <row r="10" spans="1:5" ht="71.25">
      <c r="A10" s="13">
        <v>9</v>
      </c>
      <c r="B10" s="13" t="s">
        <v>49</v>
      </c>
      <c r="C10" s="40" t="s">
        <v>85</v>
      </c>
      <c r="D10" s="5"/>
      <c r="E10" s="5"/>
    </row>
    <row r="11" spans="1:5" ht="102.75" customHeight="1">
      <c r="A11" s="13">
        <v>10</v>
      </c>
      <c r="B11" s="13" t="s">
        <v>33</v>
      </c>
      <c r="C11" s="40" t="s">
        <v>57</v>
      </c>
      <c r="D11" s="5"/>
      <c r="E11" s="5"/>
    </row>
    <row r="12" spans="1:5" ht="28.5">
      <c r="A12" s="13">
        <v>11</v>
      </c>
      <c r="B12" s="13" t="s">
        <v>45</v>
      </c>
      <c r="C12" s="40" t="s">
        <v>58</v>
      </c>
      <c r="D12" s="5"/>
      <c r="E12" s="5"/>
    </row>
    <row r="13" spans="1:5" ht="28.5">
      <c r="A13" s="13">
        <v>12</v>
      </c>
      <c r="B13" s="13" t="s">
        <v>48</v>
      </c>
      <c r="C13" s="40" t="s">
        <v>59</v>
      </c>
      <c r="D13" s="5"/>
      <c r="E13" s="5"/>
    </row>
    <row r="14" spans="1:5" ht="42.75">
      <c r="A14" s="13">
        <v>13</v>
      </c>
      <c r="B14" s="13" t="s">
        <v>39</v>
      </c>
      <c r="C14" s="40" t="s">
        <v>94</v>
      </c>
      <c r="D14" s="5"/>
      <c r="E14" s="5"/>
    </row>
    <row r="15" spans="1:5" ht="28.5">
      <c r="A15" s="13">
        <v>14</v>
      </c>
      <c r="B15" s="13" t="s">
        <v>52</v>
      </c>
      <c r="C15" s="40" t="s">
        <v>60</v>
      </c>
      <c r="D15" s="5"/>
      <c r="E15" s="5"/>
    </row>
    <row r="16" spans="1:5" ht="42.75">
      <c r="A16" s="13">
        <v>15</v>
      </c>
      <c r="B16" s="13" t="s">
        <v>76</v>
      </c>
      <c r="C16" s="40" t="s">
        <v>86</v>
      </c>
      <c r="D16" s="5"/>
      <c r="E16" s="5"/>
    </row>
    <row r="17" spans="1:5" ht="28.5">
      <c r="A17" s="13">
        <v>16</v>
      </c>
      <c r="B17" s="13" t="s">
        <v>28</v>
      </c>
      <c r="C17" s="40" t="s">
        <v>61</v>
      </c>
      <c r="D17" s="5"/>
      <c r="E17" s="5"/>
    </row>
    <row r="18" spans="1:5" ht="28.5">
      <c r="A18" s="13">
        <v>17</v>
      </c>
      <c r="B18" s="13" t="s">
        <v>29</v>
      </c>
      <c r="C18" s="40" t="s">
        <v>62</v>
      </c>
      <c r="D18" s="5"/>
      <c r="E18" s="5"/>
    </row>
    <row r="19" spans="1:5" ht="28.5">
      <c r="A19" s="13">
        <v>18</v>
      </c>
      <c r="B19" s="13" t="s">
        <v>27</v>
      </c>
      <c r="C19" s="41" t="s">
        <v>44</v>
      </c>
      <c r="D19" s="5"/>
      <c r="E19" s="5"/>
    </row>
    <row r="20" spans="1:5" ht="28.5">
      <c r="A20" s="13">
        <v>19</v>
      </c>
      <c r="B20" s="13" t="s">
        <v>24</v>
      </c>
      <c r="C20" s="40" t="s">
        <v>96</v>
      </c>
      <c r="D20" s="5"/>
      <c r="E20" s="5"/>
    </row>
    <row r="21" spans="1:5" ht="57">
      <c r="A21" s="13">
        <v>20</v>
      </c>
      <c r="B21" s="13" t="s">
        <v>34</v>
      </c>
      <c r="C21" s="40" t="s">
        <v>87</v>
      </c>
      <c r="D21" s="5"/>
      <c r="E21" s="5"/>
    </row>
    <row r="22" spans="1:5" ht="57">
      <c r="A22" s="13">
        <v>21</v>
      </c>
      <c r="B22" s="13" t="s">
        <v>35</v>
      </c>
      <c r="C22" s="40" t="s">
        <v>63</v>
      </c>
      <c r="D22" s="5"/>
      <c r="E22" s="5"/>
    </row>
    <row r="23" spans="1:5" ht="42.75">
      <c r="A23" s="13">
        <v>22</v>
      </c>
      <c r="B23" s="13" t="s">
        <v>25</v>
      </c>
      <c r="C23" s="40" t="s">
        <v>95</v>
      </c>
      <c r="D23" s="5"/>
      <c r="E23" s="5"/>
    </row>
    <row r="24" spans="1:5" ht="28.5">
      <c r="A24" s="13">
        <v>23</v>
      </c>
      <c r="B24" s="13" t="s">
        <v>36</v>
      </c>
      <c r="C24" s="40" t="s">
        <v>75</v>
      </c>
      <c r="D24" s="5"/>
      <c r="E24" s="5"/>
    </row>
    <row r="25" spans="1:5" ht="42.75">
      <c r="A25" s="13">
        <v>24</v>
      </c>
      <c r="B25" s="13" t="s">
        <v>64</v>
      </c>
      <c r="C25" s="40" t="s">
        <v>65</v>
      </c>
      <c r="D25" s="5"/>
      <c r="E25" s="5"/>
    </row>
    <row r="26" spans="1:5" ht="28.5">
      <c r="A26" s="13">
        <v>25</v>
      </c>
      <c r="B26" s="13" t="s">
        <v>37</v>
      </c>
      <c r="C26" s="40" t="s">
        <v>83</v>
      </c>
      <c r="D26" s="5"/>
      <c r="E26" s="5"/>
    </row>
    <row r="27" spans="1:3" ht="42.75">
      <c r="A27" s="13">
        <v>26</v>
      </c>
      <c r="B27" s="13" t="s">
        <v>51</v>
      </c>
      <c r="C27" s="40" t="s">
        <v>90</v>
      </c>
    </row>
    <row r="28" spans="1:3" ht="14.25">
      <c r="A28" s="13">
        <v>27</v>
      </c>
      <c r="B28" s="13" t="s">
        <v>78</v>
      </c>
      <c r="C28" s="40" t="s">
        <v>77</v>
      </c>
    </row>
    <row r="29" spans="1:3" ht="71.25">
      <c r="A29" s="13">
        <v>28</v>
      </c>
      <c r="B29" s="14" t="s">
        <v>80</v>
      </c>
      <c r="C29" s="40" t="s">
        <v>81</v>
      </c>
    </row>
    <row r="30" spans="1:3" ht="71.25">
      <c r="A30" s="13">
        <v>29</v>
      </c>
      <c r="B30" s="14" t="s">
        <v>92</v>
      </c>
      <c r="C30" s="40" t="s">
        <v>93</v>
      </c>
    </row>
    <row r="31" spans="1:3" ht="30">
      <c r="A31" s="13">
        <v>30</v>
      </c>
      <c r="B31" s="13" t="s">
        <v>40</v>
      </c>
      <c r="C31" s="47" t="s">
        <v>97</v>
      </c>
    </row>
    <row r="32" ht="14.25">
      <c r="A32" s="13"/>
    </row>
    <row r="33" ht="14.25">
      <c r="A33" s="1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2">
      <selection activeCell="A19" sqref="A19"/>
    </sheetView>
  </sheetViews>
  <sheetFormatPr defaultColWidth="9.140625" defaultRowHeight="12.75"/>
  <cols>
    <col min="1" max="1" width="75.421875" style="0" customWidth="1"/>
    <col min="2" max="2" width="66.421875" style="0" customWidth="1"/>
  </cols>
  <sheetData>
    <row r="1" spans="1:2" ht="14.25">
      <c r="A1" s="4" t="s">
        <v>0</v>
      </c>
      <c r="B1" s="17"/>
    </row>
    <row r="2" spans="1:2" ht="14.25">
      <c r="A2" s="16" t="s">
        <v>1</v>
      </c>
      <c r="B2" s="5"/>
    </row>
    <row r="3" spans="1:2" ht="14.25">
      <c r="A3" s="16" t="s">
        <v>2</v>
      </c>
      <c r="B3" s="5"/>
    </row>
    <row r="4" spans="1:2" ht="14.25">
      <c r="A4" s="16" t="s">
        <v>3</v>
      </c>
      <c r="B4" s="5"/>
    </row>
    <row r="5" spans="1:2" ht="14.25">
      <c r="A5" s="16" t="s">
        <v>4</v>
      </c>
      <c r="B5" s="5"/>
    </row>
    <row r="6" spans="1:2" ht="14.25">
      <c r="A6" s="16" t="s">
        <v>5</v>
      </c>
      <c r="B6" s="5"/>
    </row>
    <row r="7" spans="1:2" ht="14.25">
      <c r="A7" s="16" t="s">
        <v>22</v>
      </c>
      <c r="B7" s="5"/>
    </row>
    <row r="8" spans="1:2" ht="14.25">
      <c r="A8" s="16" t="s">
        <v>6</v>
      </c>
      <c r="B8" s="5"/>
    </row>
    <row r="9" spans="1:2" ht="14.25">
      <c r="A9" s="16" t="s">
        <v>7</v>
      </c>
      <c r="B9" s="5"/>
    </row>
    <row r="10" spans="1:2" ht="14.25">
      <c r="A10" s="16" t="s">
        <v>23</v>
      </c>
      <c r="B10" s="5"/>
    </row>
    <row r="11" spans="1:2" ht="14.25">
      <c r="A11" s="16" t="s">
        <v>8</v>
      </c>
      <c r="B11" s="5"/>
    </row>
    <row r="12" spans="1:2" ht="14.25">
      <c r="A12" s="16" t="s">
        <v>9</v>
      </c>
      <c r="B12" s="5"/>
    </row>
    <row r="13" spans="1:2" ht="14.25">
      <c r="A13" s="16" t="s">
        <v>10</v>
      </c>
      <c r="B13" s="5"/>
    </row>
    <row r="14" spans="1:2" ht="14.25">
      <c r="A14" s="16" t="s">
        <v>11</v>
      </c>
      <c r="B14" s="5"/>
    </row>
    <row r="15" spans="1:2" ht="14.25">
      <c r="A15" s="16" t="s">
        <v>20</v>
      </c>
      <c r="B15" s="5"/>
    </row>
    <row r="16" spans="1:2" ht="14.25">
      <c r="A16" s="16" t="s">
        <v>12</v>
      </c>
      <c r="B16" s="5"/>
    </row>
    <row r="17" spans="1:2" ht="14.25">
      <c r="A17" s="16" t="s">
        <v>13</v>
      </c>
      <c r="B17" s="5"/>
    </row>
    <row r="18" spans="1:2" ht="14.25">
      <c r="A18" s="16" t="s">
        <v>14</v>
      </c>
      <c r="B18" s="5"/>
    </row>
    <row r="19" spans="1:2" ht="14.25">
      <c r="A19" s="16" t="s">
        <v>21</v>
      </c>
      <c r="B19" s="5"/>
    </row>
    <row r="20" spans="1:2" ht="14.25">
      <c r="A20" s="16" t="s">
        <v>98</v>
      </c>
      <c r="B20" s="5"/>
    </row>
    <row r="21" spans="1:2" ht="14.25">
      <c r="A21" s="16" t="s">
        <v>99</v>
      </c>
      <c r="B21" s="5"/>
    </row>
    <row r="22" spans="1:2" ht="14.25">
      <c r="A22" s="16" t="s">
        <v>18</v>
      </c>
      <c r="B22" s="5"/>
    </row>
    <row r="23" spans="1:2" ht="14.25">
      <c r="A23" s="16" t="s">
        <v>19</v>
      </c>
      <c r="B23" s="5"/>
    </row>
    <row r="24" spans="1:2" ht="14.25">
      <c r="A24" s="16" t="s">
        <v>15</v>
      </c>
      <c r="B24" s="5"/>
    </row>
    <row r="25" spans="1:2" ht="14.25">
      <c r="A25" s="16" t="s">
        <v>16</v>
      </c>
      <c r="B25" s="5"/>
    </row>
    <row r="26" spans="1:2" ht="14.25">
      <c r="A26" s="16" t="s">
        <v>17</v>
      </c>
      <c r="B26" s="5"/>
    </row>
    <row r="27" spans="1:2" ht="14.25">
      <c r="A27" s="18" t="s">
        <v>43</v>
      </c>
      <c r="B27" s="8"/>
    </row>
    <row r="28" spans="1:2" ht="14.25">
      <c r="A28" s="16" t="s">
        <v>40</v>
      </c>
      <c r="B28" s="5"/>
    </row>
  </sheetData>
  <sheetProtection/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arlete.paula</dc:creator>
  <cp:keywords/>
  <dc:description/>
  <cp:lastModifiedBy>luzia.coelho</cp:lastModifiedBy>
  <cp:lastPrinted>2007-12-11T19:47:02Z</cp:lastPrinted>
  <dcterms:created xsi:type="dcterms:W3CDTF">2006-11-10T14:24:34Z</dcterms:created>
  <dcterms:modified xsi:type="dcterms:W3CDTF">2008-06-04T11:33:31Z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-568450374</vt:i4>
  </property>
  <property fmtid="{D5CDD505-2E9C-101B-9397-08002B2CF9AE}" pid="3" name="_EmailSubject">
    <vt:lpwstr>Agenda de Decisão nº 388 - 09/02/2007 - i</vt:lpwstr>
  </property>
  <property fmtid="{D5CDD505-2E9C-101B-9397-08002B2CF9AE}" pid="4" name="_AuthorEmail">
    <vt:lpwstr>canalsrh@planejamento.gov.br</vt:lpwstr>
  </property>
  <property fmtid="{D5CDD505-2E9C-101B-9397-08002B2CF9AE}" pid="5" name="_AuthorEmailDisplayName">
    <vt:lpwstr>Canal SRH</vt:lpwstr>
  </property>
  <property fmtid="{D5CDD505-2E9C-101B-9397-08002B2CF9AE}" pid="6" name="_ReviewingToolsShownOnce">
    <vt:lpwstr/>
  </property>
</Properties>
</file>